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2"/>
  </bookViews>
  <sheets>
    <sheet name="Krycí list rozpočtu" sheetId="1" r:id="rId1"/>
    <sheet name="VORN" sheetId="2" state="hidden" r:id="rId2"/>
    <sheet name="Stavební rozpočet" sheetId="3" r:id="rId3"/>
  </sheets>
  <definedNames>
    <definedName name="vorn_sum">'VORN'!$I$45</definedName>
  </definedNames>
  <calcPr fullCalcOnLoad="1"/>
</workbook>
</file>

<file path=xl/sharedStrings.xml><?xml version="1.0" encoding="utf-8"?>
<sst xmlns="http://schemas.openxmlformats.org/spreadsheetml/2006/main" count="1304" uniqueCount="388">
  <si>
    <t>Doba výstavby:</t>
  </si>
  <si>
    <t>Vyvěšení dřevěných a plastových dveřních křídel pl. do 2 m2</t>
  </si>
  <si>
    <t>Projektant</t>
  </si>
  <si>
    <t>_9_</t>
  </si>
  <si>
    <t>Ostatní rozpočtové náklady (VORN)</t>
  </si>
  <si>
    <t>Malby</t>
  </si>
  <si>
    <t>Obklad vnitřní stěn keramický, do tmele, 15x15 cm</t>
  </si>
  <si>
    <t>Vedlejší a ostatní rozpočtové náklady VORN</t>
  </si>
  <si>
    <t>968062245R00</t>
  </si>
  <si>
    <t>přerušené tepelné mosty, klika/koule se štíty,</t>
  </si>
  <si>
    <t>Základ 21%</t>
  </si>
  <si>
    <t>20</t>
  </si>
  <si>
    <t>03VRN</t>
  </si>
  <si>
    <t>Okno plastové, jednokřídlové - OS, 700/500, plastový profil 82mm (3těsnění), Uw=0,71W/m2K, trojsklo (4-14-4-14-4), Ug=0,5-0,6W/m2K,</t>
  </si>
  <si>
    <t>(0,6+1,2)*2*11+(0,7+0,5)*2*3</t>
  </si>
  <si>
    <t>Dodávka</t>
  </si>
  <si>
    <t>NUS celkem z obj.</t>
  </si>
  <si>
    <t>(1,8+2,1)*2*0,5*(3+11)</t>
  </si>
  <si>
    <t>Montáž vstupních dveří s vypěněním</t>
  </si>
  <si>
    <t>Název stavby:</t>
  </si>
  <si>
    <t>Ostatní materiál</t>
  </si>
  <si>
    <t>celoobvodové kování, závěsy, kliky se štíty</t>
  </si>
  <si>
    <t>622473187RT2</t>
  </si>
  <si>
    <t>48</t>
  </si>
  <si>
    <t>29</t>
  </si>
  <si>
    <t>Č</t>
  </si>
  <si>
    <t>odhadem 2np</t>
  </si>
  <si>
    <t>764</t>
  </si>
  <si>
    <t>s použitím suché maltové směsi</t>
  </si>
  <si>
    <t>Poznámka:</t>
  </si>
  <si>
    <t>Lokalita:</t>
  </si>
  <si>
    <t>16</t>
  </si>
  <si>
    <t>PSV</t>
  </si>
  <si>
    <t>24</t>
  </si>
  <si>
    <t>Vyvěšení dřevěných a plastových okenních křídel pl. do 1,5 m2</t>
  </si>
  <si>
    <t>Bez pevné podl.</t>
  </si>
  <si>
    <t>Celkem</t>
  </si>
  <si>
    <t>Zařízení staveniště</t>
  </si>
  <si>
    <t>766_</t>
  </si>
  <si>
    <t>4</t>
  </si>
  <si>
    <t>97</t>
  </si>
  <si>
    <t>8013119</t>
  </si>
  <si>
    <t>Základní rozpočtové náklady</t>
  </si>
  <si>
    <t>(0,78+2,03*2)*2</t>
  </si>
  <si>
    <t>26</t>
  </si>
  <si>
    <t>(3)</t>
  </si>
  <si>
    <t>Sazba DPH</t>
  </si>
  <si>
    <t>Konstrukce klempířské</t>
  </si>
  <si>
    <t>Celkem bez DPH</t>
  </si>
  <si>
    <t>Vedlejší a ostatní rozpočtové náklady</t>
  </si>
  <si>
    <t>Omítka stěn vnější z MS silikonová slož. II. ručně</t>
  </si>
  <si>
    <t>612475121RT2</t>
  </si>
  <si>
    <t>Hmotnost (t)</t>
  </si>
  <si>
    <t>(1,8+2,1)*2*1,0*(3+11)</t>
  </si>
  <si>
    <t>6</t>
  </si>
  <si>
    <t>Rozpočtové náklady v Kč</t>
  </si>
  <si>
    <t>B</t>
  </si>
  <si>
    <t>Náklady na umístění stavby (NUS)</t>
  </si>
  <si>
    <t>Přesun hmot pro budovy zděné výšky do 6 m</t>
  </si>
  <si>
    <t>42</t>
  </si>
  <si>
    <t>Montáž</t>
  </si>
  <si>
    <t>Datum, razítko a podpis</t>
  </si>
  <si>
    <t>ZRN celkem</t>
  </si>
  <si>
    <t>Nezařazeno</t>
  </si>
  <si>
    <t>(1,8+2,1)*2*(3+11)</t>
  </si>
  <si>
    <t>979094211R00</t>
  </si>
  <si>
    <t>33</t>
  </si>
  <si>
    <t>03VRN_</t>
  </si>
  <si>
    <t>_78_</t>
  </si>
  <si>
    <t>doplnění obkladu špalet do m.č.130</t>
  </si>
  <si>
    <t>odhadem 1np</t>
  </si>
  <si>
    <t>O3</t>
  </si>
  <si>
    <t>Základna</t>
  </si>
  <si>
    <t>25</t>
  </si>
  <si>
    <t>kus</t>
  </si>
  <si>
    <t>(2,1*2+0,9)*0,5</t>
  </si>
  <si>
    <t>Dodávky</t>
  </si>
  <si>
    <t>soustava</t>
  </si>
  <si>
    <t>Vnitrostaveništní doprava suti do 10 m</t>
  </si>
  <si>
    <t>Ostatní mat.</t>
  </si>
  <si>
    <t>Ostatní náklady</t>
  </si>
  <si>
    <t>998011001R00</t>
  </si>
  <si>
    <t>1,2*1,2*1</t>
  </si>
  <si>
    <t>Cenová</t>
  </si>
  <si>
    <t>Dle výběru investora</t>
  </si>
  <si>
    <t>včetně dodávky fólie tl. 0,04 mm</t>
  </si>
  <si>
    <t>Oplechování parapetů včetně rohů Pz, rš 200 mm</t>
  </si>
  <si>
    <t>Statutární město Frýdek-Místek</t>
  </si>
  <si>
    <t>Nakládání nebo překládání vybourané suti</t>
  </si>
  <si>
    <t>HSV prac</t>
  </si>
  <si>
    <t>767_</t>
  </si>
  <si>
    <t>1,8*2,1*(3+11)</t>
  </si>
  <si>
    <t>Č.p.400, ul.Prokopa Holého, výměna oken</t>
  </si>
  <si>
    <t>13</t>
  </si>
  <si>
    <t>Zakrytí předmětů, včetně odstranění</t>
  </si>
  <si>
    <t>"M"</t>
  </si>
  <si>
    <t>Konstrukce doplňkové stavební (zámečnické)</t>
  </si>
  <si>
    <t>VORN celkem z obj.</t>
  </si>
  <si>
    <t>766694112R00</t>
  </si>
  <si>
    <t>97_</t>
  </si>
  <si>
    <t>Krycí list rozpočtu</t>
  </si>
  <si>
    <t>včetně papírové lepenky</t>
  </si>
  <si>
    <t>Vyčištění budov o výšce podlaží do 4 m</t>
  </si>
  <si>
    <t>Cena/MJ</t>
  </si>
  <si>
    <t>Konec výstavby:</t>
  </si>
  <si>
    <t>(1,2+1,2)*2*1</t>
  </si>
  <si>
    <t>968062244R00</t>
  </si>
  <si>
    <t>784191101R00</t>
  </si>
  <si>
    <t>Kód</t>
  </si>
  <si>
    <t>S</t>
  </si>
  <si>
    <t>Jednot.</t>
  </si>
  <si>
    <t>43</t>
  </si>
  <si>
    <t>200</t>
  </si>
  <si>
    <t>(1,2+1,2)*2*0,5*1</t>
  </si>
  <si>
    <t>766694113R00</t>
  </si>
  <si>
    <t>Vybourání dřevěných rámů oken jednoduch. pl. 4 m2</t>
  </si>
  <si>
    <t>784195222R00</t>
  </si>
  <si>
    <t>Montáž parapetních desek š.do 30 cm,dl.do 160 cm</t>
  </si>
  <si>
    <t>Začištění omítek kolem oken,dveří apod.</t>
  </si>
  <si>
    <t>MJ</t>
  </si>
  <si>
    <t>45</t>
  </si>
  <si>
    <t>40</t>
  </si>
  <si>
    <t>(3+11)</t>
  </si>
  <si>
    <t>Vybourání dřevěných rámů oken jednoduch. pl. 1 m2</t>
  </si>
  <si>
    <t>Doplňkové náklady</t>
  </si>
  <si>
    <t>622473186R00</t>
  </si>
  <si>
    <t>Poplatek za uložení suti - dřevo+sklo, skupina odpadu 170904</t>
  </si>
  <si>
    <t>PSV prac</t>
  </si>
  <si>
    <t>HSV</t>
  </si>
  <si>
    <t>Vybourání dřevěných dveřních zárubní pl. do 2 m2</t>
  </si>
  <si>
    <t>Vedlejší rozpočtové náklady VRN</t>
  </si>
  <si>
    <t>9</t>
  </si>
  <si>
    <t>Constructus s.r.o.</t>
  </si>
  <si>
    <t>15</t>
  </si>
  <si>
    <t>766694111R00</t>
  </si>
  <si>
    <t>0,6*11+0,7*3</t>
  </si>
  <si>
    <t>Frýdek-Místek</t>
  </si>
  <si>
    <t>95</t>
  </si>
  <si>
    <t>ISWORK</t>
  </si>
  <si>
    <t>Celkem včetně DPH</t>
  </si>
  <si>
    <t>Celkem NUS</t>
  </si>
  <si>
    <t>Základ 0%</t>
  </si>
  <si>
    <t>Montáž výztužné sítě(perlinky)do stěrky-vněj.stěny</t>
  </si>
  <si>
    <t>S_</t>
  </si>
  <si>
    <t>766</t>
  </si>
  <si>
    <t>52</t>
  </si>
  <si>
    <t>51</t>
  </si>
  <si>
    <t>19.01.2024</t>
  </si>
  <si>
    <t>Přesuny sutí</t>
  </si>
  <si>
    <t>Mont prac</t>
  </si>
  <si>
    <t>(11)</t>
  </si>
  <si>
    <t>Obklady (keramické)</t>
  </si>
  <si>
    <t>44</t>
  </si>
  <si>
    <t>Příplatek k odvozu za každý další 1 km</t>
  </si>
  <si>
    <t>764410230RT2</t>
  </si>
  <si>
    <t>62_</t>
  </si>
  <si>
    <t>23</t>
  </si>
  <si>
    <t>RTS II / 2023</t>
  </si>
  <si>
    <t>781_</t>
  </si>
  <si>
    <t>767</t>
  </si>
  <si>
    <t>0,78*2,03*2</t>
  </si>
  <si>
    <t>t</t>
  </si>
  <si>
    <t>612409991RT2</t>
  </si>
  <si>
    <t>(1,2+1,2)*2*1,0*1</t>
  </si>
  <si>
    <t>53</t>
  </si>
  <si>
    <t>Konstrukce truhlářské</t>
  </si>
  <si>
    <t>99</t>
  </si>
  <si>
    <t>Průzkumy, geodetické a projektové práce</t>
  </si>
  <si>
    <t>784011221RT2</t>
  </si>
  <si>
    <t>Zakrytí podlah, včetně odstranění</t>
  </si>
  <si>
    <t>O4</t>
  </si>
  <si>
    <t>JKSO:</t>
  </si>
  <si>
    <t>764410850R00</t>
  </si>
  <si>
    <t>781475112RT1</t>
  </si>
  <si>
    <t>DN celkem</t>
  </si>
  <si>
    <t>629451111R00</t>
  </si>
  <si>
    <t>;ztratné 20%; 0,51</t>
  </si>
  <si>
    <t>GROUPCODE</t>
  </si>
  <si>
    <t>Provozní vlivy</t>
  </si>
  <si>
    <t>5</t>
  </si>
  <si>
    <t>1,8*(3+11)</t>
  </si>
  <si>
    <t>Stavební rozpočet</t>
  </si>
  <si>
    <t>Druh stavby:</t>
  </si>
  <si>
    <t>(0,6+1,2)*2*1,0*11+(0,7+0,5)*2*1,0*3</t>
  </si>
  <si>
    <t>979990162R00</t>
  </si>
  <si>
    <t>784</t>
  </si>
  <si>
    <t>mříž v okně m.č.129</t>
  </si>
  <si>
    <t>96</t>
  </si>
  <si>
    <t>Zpracováno dne:</t>
  </si>
  <si>
    <t>Dveře,hliníkové,jednokříd-1780/2030, Al profil,tříkomorový,výpln tl.48mm ve spodní části-U=0,9W/m2K a lepší, Urám=1,7W/m2K</t>
  </si>
  <si>
    <t>10</t>
  </si>
  <si>
    <t>36</t>
  </si>
  <si>
    <t>14</t>
  </si>
  <si>
    <t>VORN - Vedlejší a ostatní rozpočtové náklady</t>
  </si>
  <si>
    <t>31</t>
  </si>
  <si>
    <t>Množství</t>
  </si>
  <si>
    <t>38</t>
  </si>
  <si>
    <t>VORN celkem</t>
  </si>
  <si>
    <t>0,6*1,2*11+0,7*0,5*3</t>
  </si>
  <si>
    <t>Budovy občanské výstavby</t>
  </si>
  <si>
    <t>95_</t>
  </si>
  <si>
    <t>Typ skupiny</t>
  </si>
  <si>
    <t>O1</t>
  </si>
  <si>
    <t>61_</t>
  </si>
  <si>
    <t>19</t>
  </si>
  <si>
    <t>C</t>
  </si>
  <si>
    <t>Náklady (Kč)</t>
  </si>
  <si>
    <t>39</t>
  </si>
  <si>
    <t>30</t>
  </si>
  <si>
    <t>(0,78+2,03)*2*2</t>
  </si>
  <si>
    <t>IČO/DIČ:</t>
  </si>
  <si>
    <t>H01</t>
  </si>
  <si>
    <t>Ostatní</t>
  </si>
  <si>
    <t>979081121R00</t>
  </si>
  <si>
    <t>030001VRN</t>
  </si>
  <si>
    <t>Zpracoval:</t>
  </si>
  <si>
    <t>Vyvěšení dřevěných a plastových okenních křídel pl. nad 1,5 m2</t>
  </si>
  <si>
    <t>1,2*1</t>
  </si>
  <si>
    <t>Soubor</t>
  </si>
  <si>
    <t>01.07.2024</t>
  </si>
  <si>
    <t>Zhotovitel</t>
  </si>
  <si>
    <t>2</t>
  </si>
  <si>
    <t>Projektant:</t>
  </si>
  <si>
    <t>Okno plastové, jednokřídlé - OS, 600/1200, plastový profil 82mm (3těsnění), Uw=0,71W/m2K, trojsklo (4-14-4-14-4), Ug=0,5-0,6W/m2K,</t>
  </si>
  <si>
    <t/>
  </si>
  <si>
    <t>766629303R00</t>
  </si>
  <si>
    <t>17</t>
  </si>
  <si>
    <t>Příplatek za zabudované rohovníky, stěny</t>
  </si>
  <si>
    <t>Montáž parapetních desek š.do 30 cm,dl.do 260 cm</t>
  </si>
  <si>
    <t>O5</t>
  </si>
  <si>
    <t>21</t>
  </si>
  <si>
    <t>Odsekání vnitřních obkladů stěn do 1 m2</t>
  </si>
  <si>
    <t>Okno plastové, čtyřkřídlové - OS, 1800/2100, sloupek a poutec, plastový profil 82mm (3těsnění), Uw=0,71W/m2K, trojsklo (4-14-4-14-4), Ug=0,5-0,6W/m2K,</t>
  </si>
  <si>
    <t>979081111R00</t>
  </si>
  <si>
    <t>Úprava povrchů vnitřní</t>
  </si>
  <si>
    <t>Práce přesčas</t>
  </si>
  <si>
    <t>Vyrovnávací vrstva MC šířky do 15 cm</t>
  </si>
  <si>
    <t>61</t>
  </si>
  <si>
    <t>978059511R00</t>
  </si>
  <si>
    <t>12</t>
  </si>
  <si>
    <t>766711021R00</t>
  </si>
  <si>
    <t>Kulturní památka</t>
  </si>
  <si>
    <t>Odvoz suti a vybour. hmot na skládku do 1 km</t>
  </si>
  <si>
    <t>Objekt</t>
  </si>
  <si>
    <t>Různé dokončovací konstrukce a práce na pozemních stavbách</t>
  </si>
  <si>
    <t>Bourání konstrukcí</t>
  </si>
  <si>
    <t>DPH 21%</t>
  </si>
  <si>
    <t>968061125R00</t>
  </si>
  <si>
    <t>766629301R00</t>
  </si>
  <si>
    <t>766601211RT2</t>
  </si>
  <si>
    <t>998764101R00</t>
  </si>
  <si>
    <t>_</t>
  </si>
  <si>
    <t>Celkem VORN</t>
  </si>
  <si>
    <t>784011222RT2</t>
  </si>
  <si>
    <t>Obkládačka Color One 150 x 150 mm šedá mat</t>
  </si>
  <si>
    <t>školní družina a mateřská škola</t>
  </si>
  <si>
    <t>49</t>
  </si>
  <si>
    <t>968061113R00</t>
  </si>
  <si>
    <t>Přesuny</t>
  </si>
  <si>
    <t>MAT</t>
  </si>
  <si>
    <t>(0,78+2,03)*2*1,0*2</t>
  </si>
  <si>
    <t>O4,O5</t>
  </si>
  <si>
    <t>Postřik stěn a potažení MC s urovnáním, tl. 8 mm</t>
  </si>
  <si>
    <t>Celkem vč. DPH</t>
  </si>
  <si>
    <t>8</t>
  </si>
  <si>
    <t>Rozpočet zpracován dle projektové dokumentace stavby pro výběr dodavatele stavby, kterou zpracovala společnost Constructus s.r.o. v 01/2024.</t>
  </si>
  <si>
    <t>Celkem:</t>
  </si>
  <si>
    <t>Mimostav. doprava</t>
  </si>
  <si>
    <t>Vlastní</t>
  </si>
  <si>
    <t>18</t>
  </si>
  <si>
    <t>DN celkem z obj.</t>
  </si>
  <si>
    <t>Přesun hmot pro truhlářské konstr., výšky do 6 m</t>
  </si>
  <si>
    <t>46</t>
  </si>
  <si>
    <t>764_</t>
  </si>
  <si>
    <t>dle potřeb stavby (oplocení, kontejner šatna/kancelář, mobilní wc, podružné měření spotřeby vody a e</t>
  </si>
  <si>
    <t>781</t>
  </si>
  <si>
    <t>Svislá doprava suti a vybour. hmot za 2.NP a 1.PP</t>
  </si>
  <si>
    <t>_76_</t>
  </si>
  <si>
    <t>Úprava povrchů vnější</t>
  </si>
  <si>
    <t>50</t>
  </si>
  <si>
    <t>Montáž oken plastových plochy do 1,50 m2</t>
  </si>
  <si>
    <t>612456212R00</t>
  </si>
  <si>
    <t>m</t>
  </si>
  <si>
    <t>Inženýrské činnosti</t>
  </si>
  <si>
    <t>968061112R00</t>
  </si>
  <si>
    <t>11</t>
  </si>
  <si>
    <t>Základ 12%</t>
  </si>
  <si>
    <t>32</t>
  </si>
  <si>
    <t>Objednatel:</t>
  </si>
  <si>
    <t>998766101R00</t>
  </si>
  <si>
    <t>PSV mat</t>
  </si>
  <si>
    <t>300</t>
  </si>
  <si>
    <t>767996801R00</t>
  </si>
  <si>
    <t>60780010</t>
  </si>
  <si>
    <t>celoobvodové silikonové těsnění</t>
  </si>
  <si>
    <t>597813530</t>
  </si>
  <si>
    <t>Příprava staveniště</t>
  </si>
  <si>
    <t>3</t>
  </si>
  <si>
    <t>Zhotovitel:</t>
  </si>
  <si>
    <t>(0,6+1,2)*2*0,5*11+(0,7+0,5)*2*0,5*3</t>
  </si>
  <si>
    <t>%</t>
  </si>
  <si>
    <t>96_</t>
  </si>
  <si>
    <t>952901111R00</t>
  </si>
  <si>
    <t>_ _</t>
  </si>
  <si>
    <t>784_</t>
  </si>
  <si>
    <t>35</t>
  </si>
  <si>
    <t>Začátek výstavby:</t>
  </si>
  <si>
    <t>A</t>
  </si>
  <si>
    <t>Mont mat</t>
  </si>
  <si>
    <t>54</t>
  </si>
  <si>
    <t xml:space="preserve"> </t>
  </si>
  <si>
    <t>622481211RT7</t>
  </si>
  <si>
    <t>O2</t>
  </si>
  <si>
    <t>včetně dodávky lišty</t>
  </si>
  <si>
    <t>2,82</t>
  </si>
  <si>
    <t>Vlastní VORN</t>
  </si>
  <si>
    <t>kg</t>
  </si>
  <si>
    <t>Objednatel</t>
  </si>
  <si>
    <t>(Kč)</t>
  </si>
  <si>
    <t>2,82*4</t>
  </si>
  <si>
    <t>Okno plastové,dvoukřídlové - OS,1200/1200, plastový profil 82mm (3těsnění), Uw=0,71W/m2K, trojsklo (4-14-4-14-4), Ug=0,5-0,6W/m2K,</t>
  </si>
  <si>
    <t>968095001R00</t>
  </si>
  <si>
    <t>22</t>
  </si>
  <si>
    <t>Montáž parapetních desek š.do 30 cm,dl.do 100 cm</t>
  </si>
  <si>
    <t>Finanční náklady</t>
  </si>
  <si>
    <t>Územní vlivy</t>
  </si>
  <si>
    <t>622472162R00</t>
  </si>
  <si>
    <t>Montáž oken plastových plochy do 4,50 m2</t>
  </si>
  <si>
    <t>DPH 12%</t>
  </si>
  <si>
    <t>_6_</t>
  </si>
  <si>
    <t>Datum:</t>
  </si>
  <si>
    <t>Příplatek za rohovník pro vnější omítky</t>
  </si>
  <si>
    <t>27</t>
  </si>
  <si>
    <t>37</t>
  </si>
  <si>
    <t>m2</t>
  </si>
  <si>
    <t>41</t>
  </si>
  <si>
    <t>Přesun hmot a sutí</t>
  </si>
  <si>
    <t>NUS z rozpočtu</t>
  </si>
  <si>
    <t>1</t>
  </si>
  <si>
    <t>11+3</t>
  </si>
  <si>
    <t>7</t>
  </si>
  <si>
    <t>Rozměry</t>
  </si>
  <si>
    <t>Položek:</t>
  </si>
  <si>
    <t>NUS celkem</t>
  </si>
  <si>
    <t>WORK</t>
  </si>
  <si>
    <t>H01_</t>
  </si>
  <si>
    <t>979082111R00</t>
  </si>
  <si>
    <t>612481211RT7</t>
  </si>
  <si>
    <t>47</t>
  </si>
  <si>
    <t>HSV mat</t>
  </si>
  <si>
    <t>Kč</t>
  </si>
  <si>
    <t>Demontáž oplechování parapetů,rš od 100 do 330 mm</t>
  </si>
  <si>
    <t>Celkem VRN</t>
  </si>
  <si>
    <t>(0,78+2,03)*2*0,5*2</t>
  </si>
  <si>
    <t>Těsnění okenní spáry, ostění, PT fólie+ PP páska</t>
  </si>
  <si>
    <t>odsekání obkladu špalet do m.č.130</t>
  </si>
  <si>
    <t>celoobvodové kování, zámek bezpečnostní vložkový</t>
  </si>
  <si>
    <t>Vybourání dřevěných rámů oken jednoduch. pl. 2 m2</t>
  </si>
  <si>
    <t>Ing.Lucie Szöke</t>
  </si>
  <si>
    <t>Celkem DN</t>
  </si>
  <si>
    <t>968062246R00</t>
  </si>
  <si>
    <t>Přesun hmot pro klempířské konstr., výšky do 6 m</t>
  </si>
  <si>
    <t>Bourání parapetů dřevěných š. do 25 cm</t>
  </si>
  <si>
    <t>968062455R00</t>
  </si>
  <si>
    <t>Zkrácený popis</t>
  </si>
  <si>
    <t>28</t>
  </si>
  <si>
    <t>979011111R00</t>
  </si>
  <si>
    <t>CELK</t>
  </si>
  <si>
    <t>VATTAX</t>
  </si>
  <si>
    <t>Prorážení otvorů a ostatní bourací práce</t>
  </si>
  <si>
    <t>34</t>
  </si>
  <si>
    <t>62</t>
  </si>
  <si>
    <t>Doplňkové náklady DN</t>
  </si>
  <si>
    <t>Montáž výztužné sítě(perlinky)do stěrky-vnit.stěny</t>
  </si>
  <si>
    <t>folie š.100 mm, páska tl. 6 mm, š. 15 mm</t>
  </si>
  <si>
    <t>Příplatek za okenní lištu (APU) - montáž</t>
  </si>
  <si>
    <t>Náklady na pracovníky</t>
  </si>
  <si>
    <t>612473186R00</t>
  </si>
  <si>
    <t>Demontáž atypických ocelových konstr. do 50 kg</t>
  </si>
  <si>
    <t>Penetrace podkladu univerzální  1x</t>
  </si>
  <si>
    <t>Malba, barva, bez penetrace, 2 x</t>
  </si>
  <si>
    <t>Parapet interiér š. 150 mm bílý</t>
  </si>
  <si>
    <t xml:space="preserve">lepení </t>
  </si>
  <si>
    <t>včetně výztužné sítě a stěrkového tmelu</t>
  </si>
  <si>
    <t xml:space="preserve">včetně výztužné sítě a stěrkového tmelu </t>
  </si>
  <si>
    <t>Omítka vnitřních stěn vápenocem. dvouvrstvá</t>
  </si>
  <si>
    <t>postřik, vrstva 10 mm</t>
  </si>
  <si>
    <t>lepidlo, spárovací hmota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</si>
</sst>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62">
    <font>
      <sz val="8"/>
      <name val="Arial"/>
      <family val="0"/>
    </font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sz val="10"/>
      <color indexed="17"/>
      <name val="Arial"/>
      <family val="0"/>
    </font>
    <font>
      <i/>
      <sz val="10"/>
      <color indexed="18"/>
      <name val="Arial"/>
      <family val="0"/>
    </font>
    <font>
      <i/>
      <sz val="10"/>
      <color indexed="16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20"/>
      <color rgb="FF000000"/>
      <name val="Arial"/>
      <family val="0"/>
    </font>
    <font>
      <sz val="12"/>
      <color rgb="FF000000"/>
      <name val="Arial"/>
      <family val="0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i/>
      <sz val="8"/>
      <color rgb="FF000000"/>
      <name val="Arial"/>
      <family val="0"/>
    </font>
    <font>
      <sz val="10"/>
      <color rgb="FF008000"/>
      <name val="Arial"/>
      <family val="0"/>
    </font>
    <font>
      <i/>
      <sz val="10"/>
      <color rgb="FF000080"/>
      <name val="Arial"/>
      <family val="0"/>
    </font>
    <font>
      <i/>
      <sz val="10"/>
      <color rgb="FF8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  <font>
      <sz val="18"/>
      <color rgb="FF000000"/>
      <name val="Arial"/>
      <family val="0"/>
    </font>
    <font>
      <i/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AEAEA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/>
      <top style="medium">
        <color rgb="FF000000"/>
      </top>
      <bottom/>
    </border>
    <border>
      <left style="thin">
        <color rgb="FF000000"/>
      </left>
      <right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 style="thin">
        <color rgb="FF000000"/>
      </left>
      <right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rgb="FF000000"/>
      </left>
      <right/>
      <top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47">
    <xf numFmtId="0" fontId="1" fillId="0" borderId="0" xfId="0" applyNumberFormat="1" applyFont="1" applyFill="1" applyBorder="1" applyAlignment="1" applyProtection="1">
      <alignment/>
      <protection/>
    </xf>
    <xf numFmtId="0" fontId="49" fillId="33" borderId="10" xfId="0" applyNumberFormat="1" applyFont="1" applyFill="1" applyBorder="1" applyAlignment="1" applyProtection="1">
      <alignment horizontal="center" vertical="center"/>
      <protection/>
    </xf>
    <xf numFmtId="4" fontId="50" fillId="0" borderId="11" xfId="0" applyNumberFormat="1" applyFont="1" applyFill="1" applyBorder="1" applyAlignment="1" applyProtection="1">
      <alignment horizontal="right" vertical="center"/>
      <protection/>
    </xf>
    <xf numFmtId="0" fontId="51" fillId="0" borderId="12" xfId="0" applyNumberFormat="1" applyFont="1" applyFill="1" applyBorder="1" applyAlignment="1" applyProtection="1">
      <alignment horizontal="left" vertical="center"/>
      <protection/>
    </xf>
    <xf numFmtId="0" fontId="52" fillId="0" borderId="13" xfId="0" applyNumberFormat="1" applyFont="1" applyFill="1" applyBorder="1" applyAlignment="1" applyProtection="1">
      <alignment horizontal="left" vertical="center"/>
      <protection/>
    </xf>
    <xf numFmtId="0" fontId="53" fillId="0" borderId="14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left" vertical="center"/>
      <protection/>
    </xf>
    <xf numFmtId="0" fontId="53" fillId="34" borderId="0" xfId="0" applyNumberFormat="1" applyFont="1" applyFill="1" applyBorder="1" applyAlignment="1" applyProtection="1">
      <alignment horizontal="left" vertical="center" wrapText="1"/>
      <protection/>
    </xf>
    <xf numFmtId="4" fontId="52" fillId="33" borderId="12" xfId="0" applyNumberFormat="1" applyFont="1" applyFill="1" applyBorder="1" applyAlignment="1" applyProtection="1">
      <alignment horizontal="right" vertical="center"/>
      <protection/>
    </xf>
    <xf numFmtId="0" fontId="50" fillId="0" borderId="12" xfId="0" applyNumberFormat="1" applyFont="1" applyFill="1" applyBorder="1" applyAlignment="1" applyProtection="1">
      <alignment horizontal="left" vertical="center"/>
      <protection/>
    </xf>
    <xf numFmtId="4" fontId="50" fillId="0" borderId="15" xfId="0" applyNumberFormat="1" applyFont="1" applyFill="1" applyBorder="1" applyAlignment="1" applyProtection="1">
      <alignment horizontal="right" vertical="center"/>
      <protection/>
    </xf>
    <xf numFmtId="4" fontId="50" fillId="0" borderId="10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16" xfId="0" applyNumberFormat="1" applyFont="1" applyFill="1" applyBorder="1" applyAlignment="1" applyProtection="1">
      <alignment horizontal="left" vertical="center"/>
      <protection/>
    </xf>
    <xf numFmtId="0" fontId="53" fillId="0" borderId="14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15" xfId="0" applyNumberFormat="1" applyFont="1" applyFill="1" applyBorder="1" applyAlignment="1" applyProtection="1">
      <alignment horizontal="right" vertical="center"/>
      <protection/>
    </xf>
    <xf numFmtId="4" fontId="52" fillId="33" borderId="10" xfId="0" applyNumberFormat="1" applyFont="1" applyFill="1" applyBorder="1" applyAlignment="1" applyProtection="1">
      <alignment horizontal="right" vertical="center"/>
      <protection/>
    </xf>
    <xf numFmtId="0" fontId="51" fillId="0" borderId="15" xfId="0" applyNumberFormat="1" applyFont="1" applyFill="1" applyBorder="1" applyAlignment="1" applyProtection="1">
      <alignment horizontal="left" vertical="center"/>
      <protection/>
    </xf>
    <xf numFmtId="0" fontId="53" fillId="35" borderId="0" xfId="0" applyNumberFormat="1" applyFont="1" applyFill="1" applyBorder="1" applyAlignment="1" applyProtection="1">
      <alignment horizontal="left" vertical="center" wrapText="1"/>
      <protection/>
    </xf>
    <xf numFmtId="0" fontId="53" fillId="0" borderId="17" xfId="0" applyNumberFormat="1" applyFont="1" applyFill="1" applyBorder="1" applyAlignment="1" applyProtection="1">
      <alignment horizontal="right" vertical="center"/>
      <protection/>
    </xf>
    <xf numFmtId="0" fontId="50" fillId="0" borderId="12" xfId="0" applyNumberFormat="1" applyFont="1" applyFill="1" applyBorder="1" applyAlignment="1" applyProtection="1">
      <alignment horizontal="right" vertical="center"/>
      <protection/>
    </xf>
    <xf numFmtId="4" fontId="50" fillId="0" borderId="12" xfId="0" applyNumberFormat="1" applyFont="1" applyFill="1" applyBorder="1" applyAlignment="1" applyProtection="1">
      <alignment horizontal="right" vertical="center"/>
      <protection/>
    </xf>
    <xf numFmtId="4" fontId="53" fillId="0" borderId="14" xfId="0" applyNumberFormat="1" applyFont="1" applyFill="1" applyBorder="1" applyAlignment="1" applyProtection="1">
      <alignment horizontal="right" vertical="center"/>
      <protection/>
    </xf>
    <xf numFmtId="4" fontId="51" fillId="0" borderId="12" xfId="0" applyNumberFormat="1" applyFont="1" applyFill="1" applyBorder="1" applyAlignment="1" applyProtection="1">
      <alignment horizontal="right" vertical="center"/>
      <protection/>
    </xf>
    <xf numFmtId="4" fontId="51" fillId="0" borderId="15" xfId="0" applyNumberFormat="1" applyFont="1" applyFill="1" applyBorder="1" applyAlignment="1" applyProtection="1">
      <alignment horizontal="right" vertical="center"/>
      <protection/>
    </xf>
    <xf numFmtId="0" fontId="49" fillId="33" borderId="18" xfId="0" applyNumberFormat="1" applyFont="1" applyFill="1" applyBorder="1" applyAlignment="1" applyProtection="1">
      <alignment horizontal="center" vertical="center"/>
      <protection/>
    </xf>
    <xf numFmtId="0" fontId="5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4" fontId="53" fillId="34" borderId="0" xfId="0" applyNumberFormat="1" applyFont="1" applyFill="1" applyBorder="1" applyAlignment="1" applyProtection="1">
      <alignment horizontal="right" vertical="center" wrapText="1"/>
      <protection/>
    </xf>
    <xf numFmtId="0" fontId="53" fillId="0" borderId="20" xfId="0" applyNumberFormat="1" applyFont="1" applyFill="1" applyBorder="1" applyAlignment="1" applyProtection="1">
      <alignment horizontal="left" vertical="center" wrapText="1"/>
      <protection/>
    </xf>
    <xf numFmtId="0" fontId="53" fillId="0" borderId="21" xfId="0" applyNumberFormat="1" applyFont="1" applyFill="1" applyBorder="1" applyAlignment="1" applyProtection="1">
      <alignment horizontal="left" vertical="center" wrapText="1"/>
      <protection/>
    </xf>
    <xf numFmtId="0" fontId="53" fillId="0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22" xfId="0" applyNumberFormat="1" applyFont="1" applyFill="1" applyBorder="1" applyAlignment="1" applyProtection="1">
      <alignment horizontal="center" vertical="center" wrapText="1"/>
      <protection/>
    </xf>
    <xf numFmtId="0" fontId="53" fillId="0" borderId="23" xfId="0" applyNumberFormat="1" applyFont="1" applyFill="1" applyBorder="1" applyAlignment="1" applyProtection="1">
      <alignment horizontal="center" vertical="center" wrapText="1"/>
      <protection/>
    </xf>
    <xf numFmtId="0" fontId="53" fillId="0" borderId="17" xfId="0" applyNumberFormat="1" applyFont="1" applyFill="1" applyBorder="1" applyAlignment="1" applyProtection="1">
      <alignment horizontal="center" vertical="center" wrapText="1"/>
      <protection/>
    </xf>
    <xf numFmtId="0" fontId="53" fillId="0" borderId="24" xfId="0" applyNumberFormat="1" applyFont="1" applyFill="1" applyBorder="1" applyAlignment="1" applyProtection="1">
      <alignment horizontal="center" vertical="center" wrapText="1"/>
      <protection/>
    </xf>
    <xf numFmtId="0" fontId="53" fillId="34" borderId="0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11" xfId="0" applyNumberFormat="1" applyFont="1" applyFill="1" applyBorder="1" applyAlignment="1" applyProtection="1">
      <alignment horizontal="left" vertical="center" wrapText="1"/>
      <protection/>
    </xf>
    <xf numFmtId="0" fontId="53" fillId="0" borderId="26" xfId="0" applyNumberFormat="1" applyFont="1" applyFill="1" applyBorder="1" applyAlignment="1" applyProtection="1">
      <alignment horizontal="center" vertical="center" wrapText="1"/>
      <protection/>
    </xf>
    <xf numFmtId="0" fontId="51" fillId="0" borderId="27" xfId="0" applyNumberFormat="1" applyFont="1" applyFill="1" applyBorder="1" applyAlignment="1" applyProtection="1">
      <alignment horizontal="left" vertical="center" wrapText="1"/>
      <protection/>
    </xf>
    <xf numFmtId="0" fontId="53" fillId="0" borderId="28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29" xfId="0" applyNumberFormat="1" applyFont="1" applyFill="1" applyBorder="1" applyAlignment="1" applyProtection="1">
      <alignment horizontal="center" vertical="center" wrapText="1"/>
      <protection/>
    </xf>
    <xf numFmtId="0" fontId="51" fillId="35" borderId="19" xfId="0" applyNumberFormat="1" applyFont="1" applyFill="1" applyBorder="1" applyAlignment="1" applyProtection="1">
      <alignment horizontal="left" vertical="center" wrapText="1"/>
      <protection/>
    </xf>
    <xf numFmtId="0" fontId="51" fillId="35" borderId="0" xfId="0" applyNumberFormat="1" applyFont="1" applyFill="1" applyBorder="1" applyAlignment="1" applyProtection="1">
      <alignment horizontal="left" vertical="center" wrapText="1"/>
      <protection/>
    </xf>
    <xf numFmtId="4" fontId="53" fillId="35" borderId="0" xfId="0" applyNumberFormat="1" applyFont="1" applyFill="1" applyBorder="1" applyAlignment="1" applyProtection="1">
      <alignment horizontal="right" vertical="center" wrapText="1"/>
      <protection/>
    </xf>
    <xf numFmtId="0" fontId="53" fillId="35" borderId="0" xfId="0" applyNumberFormat="1" applyFont="1" applyFill="1" applyBorder="1" applyAlignment="1" applyProtection="1">
      <alignment horizontal="right" vertical="center" wrapText="1"/>
      <protection/>
    </xf>
    <xf numFmtId="0" fontId="53" fillId="35" borderId="15" xfId="0" applyNumberFormat="1" applyFont="1" applyFill="1" applyBorder="1" applyAlignment="1" applyProtection="1">
      <alignment horizontal="right" vertical="center" wrapText="1"/>
      <protection/>
    </xf>
    <xf numFmtId="0" fontId="51" fillId="34" borderId="19" xfId="0" applyNumberFormat="1" applyFont="1" applyFill="1" applyBorder="1" applyAlignment="1" applyProtection="1">
      <alignment horizontal="left" vertical="center" wrapText="1"/>
      <protection/>
    </xf>
    <xf numFmtId="0" fontId="51" fillId="34" borderId="0" xfId="0" applyNumberFormat="1" applyFont="1" applyFill="1" applyBorder="1" applyAlignment="1" applyProtection="1">
      <alignment horizontal="left" vertical="center" wrapText="1"/>
      <protection/>
    </xf>
    <xf numFmtId="0" fontId="53" fillId="34" borderId="15" xfId="0" applyNumberFormat="1" applyFont="1" applyFill="1" applyBorder="1" applyAlignment="1" applyProtection="1">
      <alignment horizontal="right" vertical="center" wrapText="1"/>
      <protection/>
    </xf>
    <xf numFmtId="4" fontId="51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NumberFormat="1" applyFont="1" applyFill="1" applyBorder="1" applyAlignment="1" applyProtection="1">
      <alignment wrapText="1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4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0" fontId="55" fillId="0" borderId="19" xfId="0" applyNumberFormat="1" applyFont="1" applyFill="1" applyBorder="1" applyAlignment="1" applyProtection="1">
      <alignment horizontal="left" vertical="center" wrapText="1"/>
      <protection/>
    </xf>
    <xf numFmtId="4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30" xfId="0" applyNumberFormat="1" applyFont="1" applyFill="1" applyBorder="1" applyAlignment="1" applyProtection="1">
      <alignment wrapText="1"/>
      <protection/>
    </xf>
    <xf numFmtId="0" fontId="1" fillId="0" borderId="31" xfId="0" applyNumberFormat="1" applyFont="1" applyFill="1" applyBorder="1" applyAlignment="1" applyProtection="1">
      <alignment wrapText="1"/>
      <protection/>
    </xf>
    <xf numFmtId="0" fontId="56" fillId="0" borderId="31" xfId="0" applyNumberFormat="1" applyFont="1" applyFill="1" applyBorder="1" applyAlignment="1" applyProtection="1">
      <alignment horizontal="left" vertical="center" wrapText="1"/>
      <protection/>
    </xf>
    <xf numFmtId="0" fontId="57" fillId="0" borderId="31" xfId="0" applyNumberFormat="1" applyFont="1" applyFill="1" applyBorder="1" applyAlignment="1" applyProtection="1">
      <alignment horizontal="left" vertical="center" wrapText="1"/>
      <protection/>
    </xf>
    <xf numFmtId="4" fontId="56" fillId="0" borderId="31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NumberFormat="1" applyFont="1" applyFill="1" applyBorder="1" applyAlignment="1" applyProtection="1">
      <alignment wrapText="1"/>
      <protection/>
    </xf>
    <xf numFmtId="4" fontId="53" fillId="0" borderId="0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22" xfId="0" applyNumberFormat="1" applyFont="1" applyFill="1" applyBorder="1" applyAlignment="1" applyProtection="1">
      <alignment horizontal="left" vertical="center"/>
      <protection/>
    </xf>
    <xf numFmtId="0" fontId="50" fillId="0" borderId="32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33" xfId="0" applyNumberFormat="1" applyFont="1" applyFill="1" applyBorder="1" applyAlignment="1" applyProtection="1">
      <alignment horizontal="left" vertical="center"/>
      <protection/>
    </xf>
    <xf numFmtId="0" fontId="50" fillId="0" borderId="26" xfId="0" applyNumberFormat="1" applyFont="1" applyFill="1" applyBorder="1" applyAlignment="1" applyProtection="1">
      <alignment horizontal="left" vertical="center"/>
      <protection/>
    </xf>
    <xf numFmtId="0" fontId="50" fillId="0" borderId="29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 wrapText="1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34" xfId="0" applyNumberFormat="1" applyFont="1" applyFill="1" applyBorder="1" applyAlignment="1" applyProtection="1">
      <alignment horizontal="left" vertical="center"/>
      <protection/>
    </xf>
    <xf numFmtId="0" fontId="50" fillId="0" borderId="35" xfId="0" applyNumberFormat="1" applyFont="1" applyFill="1" applyBorder="1" applyAlignment="1" applyProtection="1">
      <alignment horizontal="left" vertical="center"/>
      <protection/>
    </xf>
    <xf numFmtId="0" fontId="50" fillId="0" borderId="36" xfId="0" applyNumberFormat="1" applyFont="1" applyFill="1" applyBorder="1" applyAlignment="1" applyProtection="1">
      <alignment horizontal="left" vertical="center"/>
      <protection/>
    </xf>
    <xf numFmtId="0" fontId="52" fillId="33" borderId="37" xfId="0" applyNumberFormat="1" applyFont="1" applyFill="1" applyBorder="1" applyAlignment="1" applyProtection="1">
      <alignment horizontal="left" vertical="center"/>
      <protection/>
    </xf>
    <xf numFmtId="0" fontId="52" fillId="33" borderId="38" xfId="0" applyNumberFormat="1" applyFont="1" applyFill="1" applyBorder="1" applyAlignment="1" applyProtection="1">
      <alignment horizontal="left" vertical="center"/>
      <protection/>
    </xf>
    <xf numFmtId="0" fontId="52" fillId="33" borderId="30" xfId="0" applyNumberFormat="1" applyFont="1" applyFill="1" applyBorder="1" applyAlignment="1" applyProtection="1">
      <alignment horizontal="left" vertical="center"/>
      <protection/>
    </xf>
    <xf numFmtId="0" fontId="52" fillId="33" borderId="31" xfId="0" applyNumberFormat="1" applyFont="1" applyFill="1" applyBorder="1" applyAlignment="1" applyProtection="1">
      <alignment horizontal="left" vertical="center"/>
      <protection/>
    </xf>
    <xf numFmtId="0" fontId="50" fillId="0" borderId="31" xfId="0" applyNumberFormat="1" applyFont="1" applyFill="1" applyBorder="1" applyAlignment="1" applyProtection="1">
      <alignment horizontal="left" vertical="center"/>
      <protection/>
    </xf>
    <xf numFmtId="0" fontId="50" fillId="0" borderId="12" xfId="0" applyNumberFormat="1" applyFont="1" applyFill="1" applyBorder="1" applyAlignment="1" applyProtection="1">
      <alignment horizontal="left" vertical="center"/>
      <protection/>
    </xf>
    <xf numFmtId="0" fontId="50" fillId="0" borderId="15" xfId="0" applyNumberFormat="1" applyFont="1" applyFill="1" applyBorder="1" applyAlignment="1" applyProtection="1">
      <alignment horizontal="left" vertical="center"/>
      <protection/>
    </xf>
    <xf numFmtId="0" fontId="52" fillId="0" borderId="38" xfId="0" applyNumberFormat="1" applyFont="1" applyFill="1" applyBorder="1" applyAlignment="1" applyProtection="1">
      <alignment horizontal="left" vertical="center"/>
      <protection/>
    </xf>
    <xf numFmtId="0" fontId="52" fillId="0" borderId="10" xfId="0" applyNumberFormat="1" applyFont="1" applyFill="1" applyBorder="1" applyAlignment="1" applyProtection="1">
      <alignment horizontal="left" vertical="center"/>
      <protection/>
    </xf>
    <xf numFmtId="0" fontId="52" fillId="0" borderId="31" xfId="0" applyNumberFormat="1" applyFont="1" applyFill="1" applyBorder="1" applyAlignment="1" applyProtection="1">
      <alignment horizontal="left" vertical="center"/>
      <protection/>
    </xf>
    <xf numFmtId="0" fontId="52" fillId="0" borderId="12" xfId="0" applyNumberFormat="1" applyFont="1" applyFill="1" applyBorder="1" applyAlignment="1" applyProtection="1">
      <alignment horizontal="left" vertical="center"/>
      <protection/>
    </xf>
    <xf numFmtId="0" fontId="52" fillId="0" borderId="30" xfId="0" applyNumberFormat="1" applyFont="1" applyFill="1" applyBorder="1" applyAlignment="1" applyProtection="1">
      <alignment horizontal="left" vertical="center"/>
      <protection/>
    </xf>
    <xf numFmtId="0" fontId="58" fillId="0" borderId="38" xfId="0" applyNumberFormat="1" applyFont="1" applyFill="1" applyBorder="1" applyAlignment="1" applyProtection="1">
      <alignment horizontal="left" vertical="center"/>
      <protection/>
    </xf>
    <xf numFmtId="0" fontId="58" fillId="0" borderId="10" xfId="0" applyNumberFormat="1" applyFont="1" applyFill="1" applyBorder="1" applyAlignment="1" applyProtection="1">
      <alignment horizontal="left" vertical="center"/>
      <protection/>
    </xf>
    <xf numFmtId="0" fontId="52" fillId="0" borderId="19" xfId="0" applyNumberFormat="1" applyFont="1" applyFill="1" applyBorder="1" applyAlignment="1" applyProtection="1">
      <alignment horizontal="left" vertical="center"/>
      <protection/>
    </xf>
    <xf numFmtId="0" fontId="52" fillId="0" borderId="15" xfId="0" applyNumberFormat="1" applyFont="1" applyFill="1" applyBorder="1" applyAlignment="1" applyProtection="1">
      <alignment horizontal="left" vertical="center"/>
      <protection/>
    </xf>
    <xf numFmtId="0" fontId="52" fillId="0" borderId="37" xfId="0" applyNumberFormat="1" applyFont="1" applyFill="1" applyBorder="1" applyAlignment="1" applyProtection="1">
      <alignment horizontal="left" vertical="center"/>
      <protection/>
    </xf>
    <xf numFmtId="0" fontId="51" fillId="0" borderId="39" xfId="0" applyNumberFormat="1" applyFont="1" applyFill="1" applyBorder="1" applyAlignment="1" applyProtection="1">
      <alignment horizontal="left" vertical="center"/>
      <protection/>
    </xf>
    <xf numFmtId="0" fontId="51" fillId="0" borderId="15" xfId="0" applyNumberFormat="1" applyFont="1" applyFill="1" applyBorder="1" applyAlignment="1" applyProtection="1">
      <alignment horizontal="left" vertical="center"/>
      <protection/>
    </xf>
    <xf numFmtId="1" fontId="51" fillId="0" borderId="15" xfId="0" applyNumberFormat="1" applyFont="1" applyFill="1" applyBorder="1" applyAlignment="1" applyProtection="1">
      <alignment horizontal="left" vertical="center"/>
      <protection/>
    </xf>
    <xf numFmtId="0" fontId="51" fillId="0" borderId="15" xfId="0" applyNumberFormat="1" applyFont="1" applyFill="1" applyBorder="1" applyAlignment="1" applyProtection="1">
      <alignment horizontal="left" vertical="center" wrapText="1"/>
      <protection/>
    </xf>
    <xf numFmtId="0" fontId="51" fillId="0" borderId="12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40" xfId="0" applyNumberFormat="1" applyFont="1" applyFill="1" applyBorder="1" applyAlignment="1" applyProtection="1">
      <alignment horizontal="left" vertical="center" wrapText="1"/>
      <protection/>
    </xf>
    <xf numFmtId="0" fontId="51" fillId="0" borderId="40" xfId="0" applyNumberFormat="1" applyFont="1" applyFill="1" applyBorder="1" applyAlignment="1" applyProtection="1">
      <alignment horizontal="left" vertical="center"/>
      <protection/>
    </xf>
    <xf numFmtId="0" fontId="51" fillId="0" borderId="31" xfId="0" applyNumberFormat="1" applyFont="1" applyFill="1" applyBorder="1" applyAlignment="1" applyProtection="1">
      <alignment horizontal="left" vertical="center"/>
      <protection/>
    </xf>
    <xf numFmtId="0" fontId="53" fillId="0" borderId="40" xfId="0" applyNumberFormat="1" applyFont="1" applyFill="1" applyBorder="1" applyAlignment="1" applyProtection="1">
      <alignment horizontal="left" vertical="center" wrapText="1"/>
      <protection/>
    </xf>
    <xf numFmtId="0" fontId="53" fillId="0" borderId="4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41" xfId="0" applyNumberFormat="1" applyFont="1" applyFill="1" applyBorder="1" applyAlignment="1" applyProtection="1">
      <alignment horizontal="left" vertical="center" wrapText="1"/>
      <protection/>
    </xf>
    <xf numFmtId="0" fontId="51" fillId="0" borderId="19" xfId="0" applyNumberFormat="1" applyFont="1" applyFill="1" applyBorder="1" applyAlignment="1" applyProtection="1">
      <alignment horizontal="left" vertical="center"/>
      <protection/>
    </xf>
    <xf numFmtId="0" fontId="51" fillId="0" borderId="19" xfId="0" applyNumberFormat="1" applyFont="1" applyFill="1" applyBorder="1" applyAlignment="1" applyProtection="1">
      <alignment horizontal="left" vertical="center" wrapText="1"/>
      <protection/>
    </xf>
    <xf numFmtId="0" fontId="51" fillId="0" borderId="30" xfId="0" applyNumberFormat="1" applyFont="1" applyFill="1" applyBorder="1" applyAlignment="1" applyProtection="1">
      <alignment horizontal="left" vertical="center"/>
      <protection/>
    </xf>
    <xf numFmtId="0" fontId="53" fillId="0" borderId="42" xfId="0" applyNumberFormat="1" applyFont="1" applyFill="1" applyBorder="1" applyAlignment="1" applyProtection="1">
      <alignment horizontal="left" vertical="center"/>
      <protection/>
    </xf>
    <xf numFmtId="0" fontId="53" fillId="0" borderId="43" xfId="0" applyNumberFormat="1" applyFont="1" applyFill="1" applyBorder="1" applyAlignment="1" applyProtection="1">
      <alignment horizontal="left" vertical="center"/>
      <protection/>
    </xf>
    <xf numFmtId="0" fontId="53" fillId="0" borderId="14" xfId="0" applyNumberFormat="1" applyFont="1" applyFill="1" applyBorder="1" applyAlignment="1" applyProtection="1">
      <alignment horizontal="left" vertical="center"/>
      <protection/>
    </xf>
    <xf numFmtId="0" fontId="52" fillId="0" borderId="42" xfId="0" applyNumberFormat="1" applyFont="1" applyFill="1" applyBorder="1" applyAlignment="1" applyProtection="1">
      <alignment horizontal="left" vertical="center"/>
      <protection/>
    </xf>
    <xf numFmtId="0" fontId="52" fillId="0" borderId="43" xfId="0" applyNumberFormat="1" applyFont="1" applyFill="1" applyBorder="1" applyAlignment="1" applyProtection="1">
      <alignment horizontal="left" vertical="center"/>
      <protection/>
    </xf>
    <xf numFmtId="0" fontId="52" fillId="0" borderId="14" xfId="0" applyNumberFormat="1" applyFont="1" applyFill="1" applyBorder="1" applyAlignment="1" applyProtection="1">
      <alignment horizontal="left" vertical="center"/>
      <protection/>
    </xf>
    <xf numFmtId="4" fontId="52" fillId="0" borderId="43" xfId="0" applyNumberFormat="1" applyFont="1" applyFill="1" applyBorder="1" applyAlignment="1" applyProtection="1">
      <alignment horizontal="right" vertical="center"/>
      <protection/>
    </xf>
    <xf numFmtId="0" fontId="52" fillId="0" borderId="43" xfId="0" applyNumberFormat="1" applyFont="1" applyFill="1" applyBorder="1" applyAlignment="1" applyProtection="1">
      <alignment horizontal="right" vertical="center"/>
      <protection/>
    </xf>
    <xf numFmtId="0" fontId="52" fillId="0" borderId="14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44" xfId="0" applyNumberFormat="1" applyFont="1" applyFill="1" applyBorder="1" applyAlignment="1" applyProtection="1">
      <alignment horizontal="left" vertical="center"/>
      <protection/>
    </xf>
    <xf numFmtId="0" fontId="53" fillId="0" borderId="45" xfId="0" applyNumberFormat="1" applyFont="1" applyFill="1" applyBorder="1" applyAlignment="1" applyProtection="1">
      <alignment horizontal="left" vertical="center"/>
      <protection/>
    </xf>
    <xf numFmtId="0" fontId="53" fillId="0" borderId="17" xfId="0" applyNumberFormat="1" applyFont="1" applyFill="1" applyBorder="1" applyAlignment="1" applyProtection="1">
      <alignment horizontal="left" vertical="center"/>
      <protection/>
    </xf>
    <xf numFmtId="0" fontId="53" fillId="34" borderId="0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15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3" fillId="0" borderId="26" xfId="0" applyNumberFormat="1" applyFont="1" applyFill="1" applyBorder="1" applyAlignment="1" applyProtection="1">
      <alignment horizontal="left" vertical="center" wrapText="1"/>
      <protection/>
    </xf>
    <xf numFmtId="0" fontId="53" fillId="0" borderId="11" xfId="0" applyNumberFormat="1" applyFont="1" applyFill="1" applyBorder="1" applyAlignment="1" applyProtection="1">
      <alignment horizontal="left" vertical="center" wrapText="1"/>
      <protection/>
    </xf>
    <xf numFmtId="0" fontId="53" fillId="0" borderId="44" xfId="0" applyNumberFormat="1" applyFont="1" applyFill="1" applyBorder="1" applyAlignment="1" applyProtection="1">
      <alignment horizontal="center" vertical="center" wrapText="1"/>
      <protection/>
    </xf>
    <xf numFmtId="0" fontId="53" fillId="0" borderId="45" xfId="0" applyNumberFormat="1" applyFont="1" applyFill="1" applyBorder="1" applyAlignment="1" applyProtection="1">
      <alignment horizontal="center" vertical="center" wrapText="1"/>
      <protection/>
    </xf>
    <xf numFmtId="0" fontId="53" fillId="0" borderId="17" xfId="0" applyNumberFormat="1" applyFont="1" applyFill="1" applyBorder="1" applyAlignment="1" applyProtection="1">
      <alignment horizontal="center" vertical="center" wrapText="1"/>
      <protection/>
    </xf>
    <xf numFmtId="0" fontId="53" fillId="35" borderId="0" xfId="0" applyNumberFormat="1" applyFont="1" applyFill="1" applyBorder="1" applyAlignment="1" applyProtection="1">
      <alignment horizontal="left" vertical="center" wrapText="1"/>
      <protection/>
    </xf>
    <xf numFmtId="0" fontId="51" fillId="0" borderId="39" xfId="0" applyNumberFormat="1" applyFont="1" applyFill="1" applyBorder="1" applyAlignment="1" applyProtection="1">
      <alignment horizontal="left" vertical="center" wrapText="1"/>
      <protection/>
    </xf>
    <xf numFmtId="0" fontId="53" fillId="0" borderId="22" xfId="0" applyNumberFormat="1" applyFont="1" applyFill="1" applyBorder="1" applyAlignment="1" applyProtection="1">
      <alignment horizontal="left" vertical="center" wrapText="1"/>
      <protection/>
    </xf>
    <xf numFmtId="0" fontId="53" fillId="0" borderId="21" xfId="0" applyNumberFormat="1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0">
      <selection activeCell="A37" sqref="A37:I3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14" t="s">
        <v>100</v>
      </c>
      <c r="B1" s="115"/>
      <c r="C1" s="115"/>
      <c r="D1" s="115"/>
      <c r="E1" s="115"/>
      <c r="F1" s="115"/>
      <c r="G1" s="115"/>
      <c r="H1" s="115"/>
      <c r="I1" s="115"/>
    </row>
    <row r="2" spans="1:9" ht="15" customHeight="1">
      <c r="A2" s="116" t="s">
        <v>19</v>
      </c>
      <c r="B2" s="109"/>
      <c r="C2" s="111" t="str">
        <f>'Stavební rozpočet'!D2</f>
        <v>Č.p.400, ul.Prokopa Holého, výměna oken</v>
      </c>
      <c r="D2" s="112"/>
      <c r="E2" s="108" t="s">
        <v>288</v>
      </c>
      <c r="F2" s="108" t="str">
        <f>'Stavební rozpočet'!J2</f>
        <v>Statutární město Frýdek-Místek</v>
      </c>
      <c r="G2" s="109"/>
      <c r="H2" s="108" t="s">
        <v>210</v>
      </c>
      <c r="I2" s="102" t="s">
        <v>224</v>
      </c>
    </row>
    <row r="3" spans="1:9" ht="15" customHeight="1">
      <c r="A3" s="117"/>
      <c r="B3" s="81"/>
      <c r="C3" s="113"/>
      <c r="D3" s="113"/>
      <c r="E3" s="81"/>
      <c r="F3" s="81"/>
      <c r="G3" s="81"/>
      <c r="H3" s="81"/>
      <c r="I3" s="103"/>
    </row>
    <row r="4" spans="1:9" ht="15" customHeight="1">
      <c r="A4" s="118" t="s">
        <v>182</v>
      </c>
      <c r="B4" s="81"/>
      <c r="C4" s="80" t="str">
        <f>'Stavební rozpočet'!D4</f>
        <v>školní družina a mateřská škola</v>
      </c>
      <c r="D4" s="81"/>
      <c r="E4" s="80" t="s">
        <v>222</v>
      </c>
      <c r="F4" s="80" t="str">
        <f>'Stavební rozpočet'!J4</f>
        <v>Constructus s.r.o.</v>
      </c>
      <c r="G4" s="81"/>
      <c r="H4" s="80" t="s">
        <v>210</v>
      </c>
      <c r="I4" s="103" t="s">
        <v>224</v>
      </c>
    </row>
    <row r="5" spans="1:9" ht="15" customHeight="1">
      <c r="A5" s="117"/>
      <c r="B5" s="81"/>
      <c r="C5" s="81"/>
      <c r="D5" s="81"/>
      <c r="E5" s="81"/>
      <c r="F5" s="81"/>
      <c r="G5" s="81"/>
      <c r="H5" s="81"/>
      <c r="I5" s="103"/>
    </row>
    <row r="6" spans="1:9" ht="15" customHeight="1">
      <c r="A6" s="118" t="s">
        <v>30</v>
      </c>
      <c r="B6" s="81"/>
      <c r="C6" s="80" t="str">
        <f>'Stavební rozpočet'!D6</f>
        <v>Frýdek-Místek</v>
      </c>
      <c r="D6" s="81"/>
      <c r="E6" s="80" t="s">
        <v>298</v>
      </c>
      <c r="F6" s="80" t="str">
        <f>'Stavební rozpočet'!J6</f>
        <v>Dle výběru investora</v>
      </c>
      <c r="G6" s="81"/>
      <c r="H6" s="80" t="s">
        <v>210</v>
      </c>
      <c r="I6" s="103" t="s">
        <v>224</v>
      </c>
    </row>
    <row r="7" spans="1:9" ht="15" customHeight="1">
      <c r="A7" s="117"/>
      <c r="B7" s="81"/>
      <c r="C7" s="81"/>
      <c r="D7" s="81"/>
      <c r="E7" s="81"/>
      <c r="F7" s="81"/>
      <c r="G7" s="81"/>
      <c r="H7" s="81"/>
      <c r="I7" s="103"/>
    </row>
    <row r="8" spans="1:9" ht="15" customHeight="1">
      <c r="A8" s="118" t="s">
        <v>306</v>
      </c>
      <c r="B8" s="81"/>
      <c r="C8" s="80" t="str">
        <f>'Stavební rozpočet'!H4</f>
        <v>01.07.2024</v>
      </c>
      <c r="D8" s="81"/>
      <c r="E8" s="80" t="s">
        <v>104</v>
      </c>
      <c r="F8" s="80" t="str">
        <f>'Stavební rozpočet'!H6</f>
        <v> </v>
      </c>
      <c r="G8" s="81"/>
      <c r="H8" s="81" t="s">
        <v>342</v>
      </c>
      <c r="I8" s="104">
        <v>54</v>
      </c>
    </row>
    <row r="9" spans="1:9" ht="15" customHeight="1">
      <c r="A9" s="117"/>
      <c r="B9" s="81"/>
      <c r="C9" s="81"/>
      <c r="D9" s="81"/>
      <c r="E9" s="81"/>
      <c r="F9" s="81"/>
      <c r="G9" s="81"/>
      <c r="H9" s="81"/>
      <c r="I9" s="103"/>
    </row>
    <row r="10" spans="1:9" ht="15" customHeight="1">
      <c r="A10" s="118" t="s">
        <v>171</v>
      </c>
      <c r="B10" s="81"/>
      <c r="C10" s="80" t="str">
        <f>'Stavební rozpočet'!D8</f>
        <v>8013119</v>
      </c>
      <c r="D10" s="81"/>
      <c r="E10" s="80" t="s">
        <v>215</v>
      </c>
      <c r="F10" s="80" t="str">
        <f>'Stavební rozpočet'!J8</f>
        <v>Ing.Lucie Szöke</v>
      </c>
      <c r="G10" s="81"/>
      <c r="H10" s="81" t="s">
        <v>330</v>
      </c>
      <c r="I10" s="105" t="str">
        <f>'Stavební rozpočet'!H8</f>
        <v>19.01.2024</v>
      </c>
    </row>
    <row r="11" spans="1:9" ht="15" customHeight="1">
      <c r="A11" s="119"/>
      <c r="B11" s="110"/>
      <c r="C11" s="110"/>
      <c r="D11" s="110"/>
      <c r="E11" s="110"/>
      <c r="F11" s="110"/>
      <c r="G11" s="110"/>
      <c r="H11" s="110"/>
      <c r="I11" s="106"/>
    </row>
    <row r="12" spans="1:9" ht="22.5" customHeight="1">
      <c r="A12" s="107" t="s">
        <v>55</v>
      </c>
      <c r="B12" s="107"/>
      <c r="C12" s="107"/>
      <c r="D12" s="107"/>
      <c r="E12" s="107"/>
      <c r="F12" s="107"/>
      <c r="G12" s="107"/>
      <c r="H12" s="107"/>
      <c r="I12" s="107"/>
    </row>
    <row r="13" spans="1:9" ht="26.25" customHeight="1">
      <c r="A13" s="26" t="s">
        <v>307</v>
      </c>
      <c r="B13" s="97" t="s">
        <v>42</v>
      </c>
      <c r="C13" s="98"/>
      <c r="D13" s="1" t="s">
        <v>56</v>
      </c>
      <c r="E13" s="97" t="s">
        <v>124</v>
      </c>
      <c r="F13" s="98"/>
      <c r="G13" s="1" t="s">
        <v>205</v>
      </c>
      <c r="H13" s="97" t="s">
        <v>57</v>
      </c>
      <c r="I13" s="98"/>
    </row>
    <row r="14" spans="1:9" ht="15" customHeight="1">
      <c r="A14" s="13" t="s">
        <v>128</v>
      </c>
      <c r="B14" s="9" t="s">
        <v>76</v>
      </c>
      <c r="C14" s="22">
        <f>SUM('Stavební rozpočet'!AB12:AB196)</f>
        <v>118385.60231657125</v>
      </c>
      <c r="D14" s="89" t="s">
        <v>235</v>
      </c>
      <c r="E14" s="90"/>
      <c r="F14" s="22">
        <f>VORN!I15</f>
        <v>0</v>
      </c>
      <c r="G14" s="89" t="s">
        <v>37</v>
      </c>
      <c r="H14" s="90"/>
      <c r="I14" s="21">
        <f>VORN!I21</f>
        <v>0</v>
      </c>
    </row>
    <row r="15" spans="1:9" ht="15" customHeight="1">
      <c r="A15" s="4" t="s">
        <v>224</v>
      </c>
      <c r="B15" s="9" t="s">
        <v>60</v>
      </c>
      <c r="C15" s="22">
        <f>SUM('Stavební rozpočet'!AC12:AC196)</f>
        <v>202616.28178342877</v>
      </c>
      <c r="D15" s="89" t="s">
        <v>35</v>
      </c>
      <c r="E15" s="90"/>
      <c r="F15" s="22">
        <f>VORN!I16</f>
        <v>0</v>
      </c>
      <c r="G15" s="89" t="s">
        <v>267</v>
      </c>
      <c r="H15" s="90"/>
      <c r="I15" s="21">
        <f>VORN!I22</f>
        <v>0</v>
      </c>
    </row>
    <row r="16" spans="1:9" ht="15" customHeight="1">
      <c r="A16" s="13" t="s">
        <v>32</v>
      </c>
      <c r="B16" s="9" t="s">
        <v>76</v>
      </c>
      <c r="C16" s="22">
        <f>SUM('Stavební rozpočet'!AD12:AD196)</f>
        <v>388734.1883152557</v>
      </c>
      <c r="D16" s="89" t="s">
        <v>241</v>
      </c>
      <c r="E16" s="90"/>
      <c r="F16" s="22">
        <f>VORN!I17</f>
        <v>0</v>
      </c>
      <c r="G16" s="89" t="s">
        <v>325</v>
      </c>
      <c r="H16" s="90"/>
      <c r="I16" s="21">
        <f>VORN!I23</f>
        <v>0</v>
      </c>
    </row>
    <row r="17" spans="1:9" ht="15" customHeight="1">
      <c r="A17" s="4" t="s">
        <v>224</v>
      </c>
      <c r="B17" s="9" t="s">
        <v>60</v>
      </c>
      <c r="C17" s="22">
        <f>SUM('Stavební rozpočet'!AE12:AE196)</f>
        <v>116840.83948474437</v>
      </c>
      <c r="D17" s="89" t="s">
        <v>224</v>
      </c>
      <c r="E17" s="90"/>
      <c r="F17" s="21" t="s">
        <v>224</v>
      </c>
      <c r="G17" s="89" t="s">
        <v>178</v>
      </c>
      <c r="H17" s="90"/>
      <c r="I17" s="21">
        <f>VORN!I24</f>
        <v>0</v>
      </c>
    </row>
    <row r="18" spans="1:9" ht="15" customHeight="1">
      <c r="A18" s="13" t="s">
        <v>95</v>
      </c>
      <c r="B18" s="9" t="s">
        <v>76</v>
      </c>
      <c r="C18" s="22">
        <f>SUM('Stavební rozpočet'!AF12:AF196)</f>
        <v>0</v>
      </c>
      <c r="D18" s="89" t="s">
        <v>224</v>
      </c>
      <c r="E18" s="90"/>
      <c r="F18" s="21" t="s">
        <v>224</v>
      </c>
      <c r="G18" s="89" t="s">
        <v>212</v>
      </c>
      <c r="H18" s="90"/>
      <c r="I18" s="21">
        <f>VORN!I25</f>
        <v>0</v>
      </c>
    </row>
    <row r="19" spans="1:9" ht="15" customHeight="1">
      <c r="A19" s="4" t="s">
        <v>224</v>
      </c>
      <c r="B19" s="9" t="s">
        <v>60</v>
      </c>
      <c r="C19" s="22">
        <f>SUM('Stavební rozpočet'!AG12:AG196)</f>
        <v>0</v>
      </c>
      <c r="D19" s="89" t="s">
        <v>224</v>
      </c>
      <c r="E19" s="90"/>
      <c r="F19" s="21" t="s">
        <v>224</v>
      </c>
      <c r="G19" s="89" t="s">
        <v>337</v>
      </c>
      <c r="H19" s="90"/>
      <c r="I19" s="21">
        <f>VORN!I26</f>
        <v>0</v>
      </c>
    </row>
    <row r="20" spans="1:9" ht="15" customHeight="1">
      <c r="A20" s="96" t="s">
        <v>20</v>
      </c>
      <c r="B20" s="95"/>
      <c r="C20" s="22">
        <f>SUM('Stavební rozpočet'!AH12:AH196)</f>
        <v>0</v>
      </c>
      <c r="D20" s="89" t="s">
        <v>224</v>
      </c>
      <c r="E20" s="90"/>
      <c r="F20" s="21" t="s">
        <v>224</v>
      </c>
      <c r="G20" s="89" t="s">
        <v>224</v>
      </c>
      <c r="H20" s="90"/>
      <c r="I20" s="21" t="s">
        <v>224</v>
      </c>
    </row>
    <row r="21" spans="1:9" ht="15" customHeight="1">
      <c r="A21" s="99" t="s">
        <v>336</v>
      </c>
      <c r="B21" s="100"/>
      <c r="C21" s="10">
        <f>SUM('Stavební rozpočet'!Z12:Z196)</f>
        <v>17199.815599999998</v>
      </c>
      <c r="D21" s="76" t="s">
        <v>224</v>
      </c>
      <c r="E21" s="91"/>
      <c r="F21" s="16" t="s">
        <v>224</v>
      </c>
      <c r="G21" s="76" t="s">
        <v>224</v>
      </c>
      <c r="H21" s="91"/>
      <c r="I21" s="16" t="s">
        <v>224</v>
      </c>
    </row>
    <row r="22" spans="1:9" ht="16.5" customHeight="1">
      <c r="A22" s="101" t="s">
        <v>62</v>
      </c>
      <c r="B22" s="93"/>
      <c r="C22" s="11">
        <f>SUM(C14:C21)</f>
        <v>843776.7275</v>
      </c>
      <c r="D22" s="92" t="s">
        <v>174</v>
      </c>
      <c r="E22" s="93"/>
      <c r="F22" s="11">
        <f>SUM(F14:F21)</f>
        <v>0</v>
      </c>
      <c r="G22" s="92" t="s">
        <v>343</v>
      </c>
      <c r="H22" s="93"/>
      <c r="I22" s="11">
        <f>SUM(I14:I21)</f>
        <v>0</v>
      </c>
    </row>
    <row r="23" spans="4:9" ht="15" customHeight="1">
      <c r="D23" s="96" t="s">
        <v>270</v>
      </c>
      <c r="E23" s="95"/>
      <c r="F23" s="2">
        <v>0</v>
      </c>
      <c r="G23" s="94" t="s">
        <v>16</v>
      </c>
      <c r="H23" s="95"/>
      <c r="I23" s="22">
        <v>0</v>
      </c>
    </row>
    <row r="24" spans="7:9" ht="15" customHeight="1">
      <c r="G24" s="96" t="s">
        <v>197</v>
      </c>
      <c r="H24" s="95"/>
      <c r="I24" s="22">
        <f>vorn_sum</f>
        <v>50000</v>
      </c>
    </row>
    <row r="25" spans="7:9" ht="15" customHeight="1">
      <c r="G25" s="96" t="s">
        <v>97</v>
      </c>
      <c r="H25" s="95"/>
      <c r="I25" s="22">
        <v>0</v>
      </c>
    </row>
    <row r="27" spans="1:3" ht="15" customHeight="1">
      <c r="A27" s="85" t="s">
        <v>141</v>
      </c>
      <c r="B27" s="86"/>
      <c r="C27" s="17">
        <f>SUM('Stavební rozpočet'!AJ12:AJ196)</f>
        <v>0</v>
      </c>
    </row>
    <row r="28" spans="1:9" ht="15" customHeight="1">
      <c r="A28" s="87" t="s">
        <v>286</v>
      </c>
      <c r="B28" s="88"/>
      <c r="C28" s="8">
        <f>SUM('Stavební rozpočet'!AK12:AK196)</f>
        <v>0</v>
      </c>
      <c r="D28" s="86" t="s">
        <v>328</v>
      </c>
      <c r="E28" s="86"/>
      <c r="F28" s="17">
        <f>ROUND(C28*(12/100),2)</f>
        <v>0</v>
      </c>
      <c r="G28" s="86" t="s">
        <v>48</v>
      </c>
      <c r="H28" s="86"/>
      <c r="I28" s="17">
        <f>SUM(C27:C29)</f>
        <v>893776.7275000002</v>
      </c>
    </row>
    <row r="29" spans="1:9" ht="15" customHeight="1">
      <c r="A29" s="87" t="s">
        <v>10</v>
      </c>
      <c r="B29" s="88"/>
      <c r="C29" s="8">
        <f>SUM('Stavební rozpočet'!AL12:AL196)</f>
        <v>893776.7275000002</v>
      </c>
      <c r="D29" s="88" t="s">
        <v>246</v>
      </c>
      <c r="E29" s="88"/>
      <c r="F29" s="8">
        <f>ROUND(C29*(21/100),2)</f>
        <v>187693.11</v>
      </c>
      <c r="G29" s="88" t="s">
        <v>139</v>
      </c>
      <c r="H29" s="88"/>
      <c r="I29" s="8">
        <f>SUM(F28:F29)+I28</f>
        <v>1081469.8375000001</v>
      </c>
    </row>
    <row r="31" spans="1:9" ht="15" customHeight="1">
      <c r="A31" s="82" t="s">
        <v>2</v>
      </c>
      <c r="B31" s="74"/>
      <c r="C31" s="75"/>
      <c r="D31" s="74" t="s">
        <v>317</v>
      </c>
      <c r="E31" s="74"/>
      <c r="F31" s="75"/>
      <c r="G31" s="74" t="s">
        <v>220</v>
      </c>
      <c r="H31" s="74"/>
      <c r="I31" s="75"/>
    </row>
    <row r="32" spans="1:9" ht="15" customHeight="1">
      <c r="A32" s="83" t="s">
        <v>224</v>
      </c>
      <c r="B32" s="76"/>
      <c r="C32" s="77"/>
      <c r="D32" s="76" t="s">
        <v>224</v>
      </c>
      <c r="E32" s="76"/>
      <c r="F32" s="77"/>
      <c r="G32" s="76" t="s">
        <v>224</v>
      </c>
      <c r="H32" s="76"/>
      <c r="I32" s="77"/>
    </row>
    <row r="33" spans="1:9" ht="15" customHeight="1">
      <c r="A33" s="83" t="s">
        <v>224</v>
      </c>
      <c r="B33" s="76"/>
      <c r="C33" s="77"/>
      <c r="D33" s="76" t="s">
        <v>224</v>
      </c>
      <c r="E33" s="76"/>
      <c r="F33" s="77"/>
      <c r="G33" s="76" t="s">
        <v>224</v>
      </c>
      <c r="H33" s="76"/>
      <c r="I33" s="77"/>
    </row>
    <row r="34" spans="1:9" ht="15" customHeight="1">
      <c r="A34" s="83" t="s">
        <v>224</v>
      </c>
      <c r="B34" s="76"/>
      <c r="C34" s="77"/>
      <c r="D34" s="76" t="s">
        <v>224</v>
      </c>
      <c r="E34" s="76"/>
      <c r="F34" s="77"/>
      <c r="G34" s="76" t="s">
        <v>224</v>
      </c>
      <c r="H34" s="76"/>
      <c r="I34" s="77"/>
    </row>
    <row r="35" spans="1:9" ht="15" customHeight="1">
      <c r="A35" s="84" t="s">
        <v>61</v>
      </c>
      <c r="B35" s="78"/>
      <c r="C35" s="79"/>
      <c r="D35" s="78" t="s">
        <v>61</v>
      </c>
      <c r="E35" s="78"/>
      <c r="F35" s="79"/>
      <c r="G35" s="78" t="s">
        <v>61</v>
      </c>
      <c r="H35" s="78"/>
      <c r="I35" s="79"/>
    </row>
    <row r="36" ht="15" customHeight="1">
      <c r="A36" s="6" t="s">
        <v>29</v>
      </c>
    </row>
    <row r="37" spans="1:9" ht="13.5" customHeight="1">
      <c r="A37" s="80" t="s">
        <v>265</v>
      </c>
      <c r="B37" s="81"/>
      <c r="C37" s="81"/>
      <c r="D37" s="81"/>
      <c r="E37" s="81"/>
      <c r="F37" s="81"/>
      <c r="G37" s="81"/>
      <c r="H37" s="81"/>
      <c r="I37" s="81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OutlineSymbols="0" zoomScalePageLayoutView="0" workbookViewId="0" topLeftCell="A1">
      <selection activeCell="A45" sqref="A45:E4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114" t="s">
        <v>49</v>
      </c>
      <c r="B1" s="115"/>
      <c r="C1" s="115"/>
      <c r="D1" s="115"/>
      <c r="E1" s="115"/>
      <c r="F1" s="115"/>
      <c r="G1" s="115"/>
      <c r="H1" s="115"/>
      <c r="I1" s="115"/>
    </row>
    <row r="2" spans="1:9" ht="15" customHeight="1">
      <c r="A2" s="116" t="s">
        <v>19</v>
      </c>
      <c r="B2" s="109"/>
      <c r="C2" s="111" t="str">
        <f>'Stavební rozpočet'!D2</f>
        <v>Č.p.400, ul.Prokopa Holého, výměna oken</v>
      </c>
      <c r="D2" s="112"/>
      <c r="E2" s="108" t="s">
        <v>288</v>
      </c>
      <c r="F2" s="108" t="str">
        <f>'Stavební rozpočet'!J2</f>
        <v>Statutární město Frýdek-Místek</v>
      </c>
      <c r="G2" s="109"/>
      <c r="H2" s="108" t="s">
        <v>210</v>
      </c>
      <c r="I2" s="102" t="s">
        <v>224</v>
      </c>
    </row>
    <row r="3" spans="1:9" ht="15" customHeight="1">
      <c r="A3" s="117"/>
      <c r="B3" s="81"/>
      <c r="C3" s="113"/>
      <c r="D3" s="113"/>
      <c r="E3" s="81"/>
      <c r="F3" s="81"/>
      <c r="G3" s="81"/>
      <c r="H3" s="81"/>
      <c r="I3" s="103"/>
    </row>
    <row r="4" spans="1:9" ht="15" customHeight="1">
      <c r="A4" s="118" t="s">
        <v>182</v>
      </c>
      <c r="B4" s="81"/>
      <c r="C4" s="80" t="str">
        <f>'Stavební rozpočet'!D4</f>
        <v>školní družina a mateřská škola</v>
      </c>
      <c r="D4" s="81"/>
      <c r="E4" s="80" t="s">
        <v>222</v>
      </c>
      <c r="F4" s="80" t="str">
        <f>'Stavební rozpočet'!J4</f>
        <v>Constructus s.r.o.</v>
      </c>
      <c r="G4" s="81"/>
      <c r="H4" s="80" t="s">
        <v>210</v>
      </c>
      <c r="I4" s="103" t="s">
        <v>224</v>
      </c>
    </row>
    <row r="5" spans="1:9" ht="15" customHeight="1">
      <c r="A5" s="117"/>
      <c r="B5" s="81"/>
      <c r="C5" s="81"/>
      <c r="D5" s="81"/>
      <c r="E5" s="81"/>
      <c r="F5" s="81"/>
      <c r="G5" s="81"/>
      <c r="H5" s="81"/>
      <c r="I5" s="103"/>
    </row>
    <row r="6" spans="1:9" ht="15" customHeight="1">
      <c r="A6" s="118" t="s">
        <v>30</v>
      </c>
      <c r="B6" s="81"/>
      <c r="C6" s="80" t="str">
        <f>'Stavební rozpočet'!D6</f>
        <v>Frýdek-Místek</v>
      </c>
      <c r="D6" s="81"/>
      <c r="E6" s="80" t="s">
        <v>298</v>
      </c>
      <c r="F6" s="80" t="str">
        <f>'Stavební rozpočet'!J6</f>
        <v>Dle výběru investora</v>
      </c>
      <c r="G6" s="81"/>
      <c r="H6" s="80" t="s">
        <v>210</v>
      </c>
      <c r="I6" s="103" t="s">
        <v>224</v>
      </c>
    </row>
    <row r="7" spans="1:9" ht="15" customHeight="1">
      <c r="A7" s="117"/>
      <c r="B7" s="81"/>
      <c r="C7" s="81"/>
      <c r="D7" s="81"/>
      <c r="E7" s="81"/>
      <c r="F7" s="81"/>
      <c r="G7" s="81"/>
      <c r="H7" s="81"/>
      <c r="I7" s="103"/>
    </row>
    <row r="8" spans="1:9" ht="15" customHeight="1">
      <c r="A8" s="118" t="s">
        <v>306</v>
      </c>
      <c r="B8" s="81"/>
      <c r="C8" s="80" t="str">
        <f>'Stavební rozpočet'!H4</f>
        <v>01.07.2024</v>
      </c>
      <c r="D8" s="81"/>
      <c r="E8" s="80" t="s">
        <v>104</v>
      </c>
      <c r="F8" s="80" t="str">
        <f>'Stavební rozpočet'!H6</f>
        <v> </v>
      </c>
      <c r="G8" s="81"/>
      <c r="H8" s="81" t="s">
        <v>342</v>
      </c>
      <c r="I8" s="104">
        <v>54</v>
      </c>
    </row>
    <row r="9" spans="1:9" ht="15" customHeight="1">
      <c r="A9" s="117"/>
      <c r="B9" s="81"/>
      <c r="C9" s="81"/>
      <c r="D9" s="81"/>
      <c r="E9" s="81"/>
      <c r="F9" s="81"/>
      <c r="G9" s="81"/>
      <c r="H9" s="81"/>
      <c r="I9" s="103"/>
    </row>
    <row r="10" spans="1:9" ht="15" customHeight="1">
      <c r="A10" s="118" t="s">
        <v>171</v>
      </c>
      <c r="B10" s="81"/>
      <c r="C10" s="80" t="str">
        <f>'Stavební rozpočet'!D8</f>
        <v>8013119</v>
      </c>
      <c r="D10" s="81"/>
      <c r="E10" s="80" t="s">
        <v>215</v>
      </c>
      <c r="F10" s="80" t="str">
        <f>'Stavební rozpočet'!J8</f>
        <v>Ing.Lucie Szöke</v>
      </c>
      <c r="G10" s="81"/>
      <c r="H10" s="81" t="s">
        <v>330</v>
      </c>
      <c r="I10" s="105" t="str">
        <f>'Stavební rozpočet'!H8</f>
        <v>19.01.2024</v>
      </c>
    </row>
    <row r="11" spans="1:9" ht="15" customHeight="1">
      <c r="A11" s="119"/>
      <c r="B11" s="110"/>
      <c r="C11" s="110"/>
      <c r="D11" s="110"/>
      <c r="E11" s="110"/>
      <c r="F11" s="110"/>
      <c r="G11" s="110"/>
      <c r="H11" s="110"/>
      <c r="I11" s="106"/>
    </row>
    <row r="13" spans="1:5" ht="15.75" customHeight="1">
      <c r="A13" s="129" t="s">
        <v>130</v>
      </c>
      <c r="B13" s="129"/>
      <c r="C13" s="129"/>
      <c r="D13" s="129"/>
      <c r="E13" s="129"/>
    </row>
    <row r="14" spans="1:9" ht="15" customHeight="1">
      <c r="A14" s="130" t="s">
        <v>372</v>
      </c>
      <c r="B14" s="131"/>
      <c r="C14" s="131"/>
      <c r="D14" s="131"/>
      <c r="E14" s="132"/>
      <c r="F14" s="20" t="s">
        <v>350</v>
      </c>
      <c r="G14" s="20" t="s">
        <v>300</v>
      </c>
      <c r="H14" s="20" t="s">
        <v>72</v>
      </c>
      <c r="I14" s="20" t="s">
        <v>350</v>
      </c>
    </row>
    <row r="15" spans="1:9" ht="15" customHeight="1">
      <c r="A15" s="119" t="s">
        <v>235</v>
      </c>
      <c r="B15" s="110"/>
      <c r="C15" s="110"/>
      <c r="D15" s="110"/>
      <c r="E15" s="106"/>
      <c r="F15" s="24">
        <v>0</v>
      </c>
      <c r="G15" s="3" t="s">
        <v>224</v>
      </c>
      <c r="H15" s="3" t="s">
        <v>224</v>
      </c>
      <c r="I15" s="24">
        <f>F15</f>
        <v>0</v>
      </c>
    </row>
    <row r="16" spans="1:9" ht="15" customHeight="1">
      <c r="A16" s="119" t="s">
        <v>35</v>
      </c>
      <c r="B16" s="110"/>
      <c r="C16" s="110"/>
      <c r="D16" s="110"/>
      <c r="E16" s="106"/>
      <c r="F16" s="24">
        <v>0</v>
      </c>
      <c r="G16" s="3" t="s">
        <v>224</v>
      </c>
      <c r="H16" s="3" t="s">
        <v>224</v>
      </c>
      <c r="I16" s="24">
        <f>F16</f>
        <v>0</v>
      </c>
    </row>
    <row r="17" spans="1:9" ht="15" customHeight="1">
      <c r="A17" s="117" t="s">
        <v>241</v>
      </c>
      <c r="B17" s="81"/>
      <c r="C17" s="81"/>
      <c r="D17" s="81"/>
      <c r="E17" s="103"/>
      <c r="F17" s="25">
        <v>0</v>
      </c>
      <c r="G17" s="18" t="s">
        <v>224</v>
      </c>
      <c r="H17" s="18" t="s">
        <v>224</v>
      </c>
      <c r="I17" s="25">
        <f>F17</f>
        <v>0</v>
      </c>
    </row>
    <row r="18" spans="1:9" ht="15" customHeight="1">
      <c r="A18" s="120" t="s">
        <v>359</v>
      </c>
      <c r="B18" s="121"/>
      <c r="C18" s="121"/>
      <c r="D18" s="121"/>
      <c r="E18" s="122"/>
      <c r="F18" s="5" t="s">
        <v>224</v>
      </c>
      <c r="G18" s="14" t="s">
        <v>224</v>
      </c>
      <c r="H18" s="14" t="s">
        <v>224</v>
      </c>
      <c r="I18" s="23">
        <f>SUM(I15:I17)</f>
        <v>0</v>
      </c>
    </row>
    <row r="20" spans="1:9" ht="15" customHeight="1">
      <c r="A20" s="130" t="s">
        <v>57</v>
      </c>
      <c r="B20" s="131"/>
      <c r="C20" s="131"/>
      <c r="D20" s="131"/>
      <c r="E20" s="132"/>
      <c r="F20" s="20" t="s">
        <v>350</v>
      </c>
      <c r="G20" s="20" t="s">
        <v>300</v>
      </c>
      <c r="H20" s="20" t="s">
        <v>72</v>
      </c>
      <c r="I20" s="20" t="s">
        <v>350</v>
      </c>
    </row>
    <row r="21" spans="1:9" ht="15" customHeight="1">
      <c r="A21" s="119" t="s">
        <v>37</v>
      </c>
      <c r="B21" s="110"/>
      <c r="C21" s="110"/>
      <c r="D21" s="110"/>
      <c r="E21" s="106"/>
      <c r="F21" s="24">
        <v>0</v>
      </c>
      <c r="G21" s="3" t="s">
        <v>224</v>
      </c>
      <c r="H21" s="3" t="s">
        <v>224</v>
      </c>
      <c r="I21" s="24">
        <f aca="true" t="shared" si="0" ref="I21:I26">F21</f>
        <v>0</v>
      </c>
    </row>
    <row r="22" spans="1:9" ht="15" customHeight="1">
      <c r="A22" s="119" t="s">
        <v>267</v>
      </c>
      <c r="B22" s="110"/>
      <c r="C22" s="110"/>
      <c r="D22" s="110"/>
      <c r="E22" s="106"/>
      <c r="F22" s="24">
        <v>0</v>
      </c>
      <c r="G22" s="3" t="s">
        <v>224</v>
      </c>
      <c r="H22" s="3" t="s">
        <v>224</v>
      </c>
      <c r="I22" s="24">
        <f t="shared" si="0"/>
        <v>0</v>
      </c>
    </row>
    <row r="23" spans="1:9" ht="15" customHeight="1">
      <c r="A23" s="119" t="s">
        <v>325</v>
      </c>
      <c r="B23" s="110"/>
      <c r="C23" s="110"/>
      <c r="D23" s="110"/>
      <c r="E23" s="106"/>
      <c r="F23" s="24">
        <v>0</v>
      </c>
      <c r="G23" s="3" t="s">
        <v>224</v>
      </c>
      <c r="H23" s="3" t="s">
        <v>224</v>
      </c>
      <c r="I23" s="24">
        <f t="shared" si="0"/>
        <v>0</v>
      </c>
    </row>
    <row r="24" spans="1:9" ht="15" customHeight="1">
      <c r="A24" s="119" t="s">
        <v>178</v>
      </c>
      <c r="B24" s="110"/>
      <c r="C24" s="110"/>
      <c r="D24" s="110"/>
      <c r="E24" s="106"/>
      <c r="F24" s="24">
        <v>0</v>
      </c>
      <c r="G24" s="3" t="s">
        <v>224</v>
      </c>
      <c r="H24" s="3" t="s">
        <v>224</v>
      </c>
      <c r="I24" s="24">
        <f t="shared" si="0"/>
        <v>0</v>
      </c>
    </row>
    <row r="25" spans="1:9" ht="15" customHeight="1">
      <c r="A25" s="119" t="s">
        <v>212</v>
      </c>
      <c r="B25" s="110"/>
      <c r="C25" s="110"/>
      <c r="D25" s="110"/>
      <c r="E25" s="106"/>
      <c r="F25" s="24">
        <v>0</v>
      </c>
      <c r="G25" s="3" t="s">
        <v>224</v>
      </c>
      <c r="H25" s="3" t="s">
        <v>224</v>
      </c>
      <c r="I25" s="24">
        <f t="shared" si="0"/>
        <v>0</v>
      </c>
    </row>
    <row r="26" spans="1:9" ht="15" customHeight="1">
      <c r="A26" s="117" t="s">
        <v>337</v>
      </c>
      <c r="B26" s="81"/>
      <c r="C26" s="81"/>
      <c r="D26" s="81"/>
      <c r="E26" s="103"/>
      <c r="F26" s="25">
        <v>0</v>
      </c>
      <c r="G26" s="18" t="s">
        <v>224</v>
      </c>
      <c r="H26" s="18" t="s">
        <v>224</v>
      </c>
      <c r="I26" s="25">
        <f t="shared" si="0"/>
        <v>0</v>
      </c>
    </row>
    <row r="27" spans="1:9" ht="15" customHeight="1">
      <c r="A27" s="120" t="s">
        <v>140</v>
      </c>
      <c r="B27" s="121"/>
      <c r="C27" s="121"/>
      <c r="D27" s="121"/>
      <c r="E27" s="122"/>
      <c r="F27" s="5" t="s">
        <v>224</v>
      </c>
      <c r="G27" s="14" t="s">
        <v>224</v>
      </c>
      <c r="H27" s="14" t="s">
        <v>224</v>
      </c>
      <c r="I27" s="23">
        <f>SUM(I21:I26)</f>
        <v>0</v>
      </c>
    </row>
    <row r="29" spans="1:9" ht="15.75" customHeight="1">
      <c r="A29" s="123" t="s">
        <v>352</v>
      </c>
      <c r="B29" s="124"/>
      <c r="C29" s="124"/>
      <c r="D29" s="124"/>
      <c r="E29" s="125"/>
      <c r="F29" s="126">
        <f>I18+I27</f>
        <v>0</v>
      </c>
      <c r="G29" s="127"/>
      <c r="H29" s="127"/>
      <c r="I29" s="128"/>
    </row>
    <row r="33" spans="1:5" ht="15.75" customHeight="1">
      <c r="A33" s="129" t="s">
        <v>7</v>
      </c>
      <c r="B33" s="129"/>
      <c r="C33" s="129"/>
      <c r="D33" s="129"/>
      <c r="E33" s="129"/>
    </row>
    <row r="34" spans="1:9" ht="15" customHeight="1">
      <c r="A34" s="130" t="s">
        <v>4</v>
      </c>
      <c r="B34" s="131"/>
      <c r="C34" s="131"/>
      <c r="D34" s="131"/>
      <c r="E34" s="132"/>
      <c r="F34" s="20" t="s">
        <v>350</v>
      </c>
      <c r="G34" s="20" t="s">
        <v>300</v>
      </c>
      <c r="H34" s="20" t="s">
        <v>72</v>
      </c>
      <c r="I34" s="20" t="s">
        <v>350</v>
      </c>
    </row>
    <row r="35" spans="1:9" ht="15" customHeight="1">
      <c r="A35" s="119" t="s">
        <v>167</v>
      </c>
      <c r="B35" s="110"/>
      <c r="C35" s="110"/>
      <c r="D35" s="110"/>
      <c r="E35" s="106"/>
      <c r="F35" s="24">
        <f>SUM('Stavební rozpočet'!BM12:BM196)</f>
        <v>0</v>
      </c>
      <c r="G35" s="3" t="s">
        <v>224</v>
      </c>
      <c r="H35" s="3" t="s">
        <v>224</v>
      </c>
      <c r="I35" s="24">
        <f aca="true" t="shared" si="1" ref="I35:I44">F35</f>
        <v>0</v>
      </c>
    </row>
    <row r="36" spans="1:9" ht="15" customHeight="1">
      <c r="A36" s="119" t="s">
        <v>296</v>
      </c>
      <c r="B36" s="110"/>
      <c r="C36" s="110"/>
      <c r="D36" s="110"/>
      <c r="E36" s="106"/>
      <c r="F36" s="24">
        <f>SUM('Stavební rozpočet'!BN12:BN196)</f>
        <v>0</v>
      </c>
      <c r="G36" s="3" t="s">
        <v>224</v>
      </c>
      <c r="H36" s="3" t="s">
        <v>224</v>
      </c>
      <c r="I36" s="24">
        <f t="shared" si="1"/>
        <v>0</v>
      </c>
    </row>
    <row r="37" spans="1:9" ht="15" customHeight="1">
      <c r="A37" s="119" t="s">
        <v>37</v>
      </c>
      <c r="B37" s="110"/>
      <c r="C37" s="110"/>
      <c r="D37" s="110"/>
      <c r="E37" s="106"/>
      <c r="F37" s="24">
        <f>SUM('Stavební rozpočet'!BO12:BO196)</f>
        <v>50000</v>
      </c>
      <c r="G37" s="3" t="s">
        <v>224</v>
      </c>
      <c r="H37" s="3" t="s">
        <v>224</v>
      </c>
      <c r="I37" s="24">
        <f t="shared" si="1"/>
        <v>50000</v>
      </c>
    </row>
    <row r="38" spans="1:9" ht="15" customHeight="1">
      <c r="A38" s="119" t="s">
        <v>283</v>
      </c>
      <c r="B38" s="110"/>
      <c r="C38" s="110"/>
      <c r="D38" s="110"/>
      <c r="E38" s="106"/>
      <c r="F38" s="24">
        <f>SUM('Stavební rozpočet'!BP12:BP196)</f>
        <v>0</v>
      </c>
      <c r="G38" s="3" t="s">
        <v>224</v>
      </c>
      <c r="H38" s="3" t="s">
        <v>224</v>
      </c>
      <c r="I38" s="24">
        <f t="shared" si="1"/>
        <v>0</v>
      </c>
    </row>
    <row r="39" spans="1:9" ht="15" customHeight="1">
      <c r="A39" s="119" t="s">
        <v>324</v>
      </c>
      <c r="B39" s="110"/>
      <c r="C39" s="110"/>
      <c r="D39" s="110"/>
      <c r="E39" s="106"/>
      <c r="F39" s="24">
        <f>SUM('Stavební rozpočet'!BQ12:BQ196)</f>
        <v>0</v>
      </c>
      <c r="G39" s="3" t="s">
        <v>224</v>
      </c>
      <c r="H39" s="3" t="s">
        <v>224</v>
      </c>
      <c r="I39" s="24">
        <f t="shared" si="1"/>
        <v>0</v>
      </c>
    </row>
    <row r="40" spans="1:9" ht="15" customHeight="1">
      <c r="A40" s="119" t="s">
        <v>325</v>
      </c>
      <c r="B40" s="110"/>
      <c r="C40" s="110"/>
      <c r="D40" s="110"/>
      <c r="E40" s="106"/>
      <c r="F40" s="24">
        <f>SUM('Stavební rozpočet'!BR12:BR196)</f>
        <v>0</v>
      </c>
      <c r="G40" s="3" t="s">
        <v>224</v>
      </c>
      <c r="H40" s="3" t="s">
        <v>224</v>
      </c>
      <c r="I40" s="24">
        <f t="shared" si="1"/>
        <v>0</v>
      </c>
    </row>
    <row r="41" spans="1:9" ht="15" customHeight="1">
      <c r="A41" s="119" t="s">
        <v>178</v>
      </c>
      <c r="B41" s="110"/>
      <c r="C41" s="110"/>
      <c r="D41" s="110"/>
      <c r="E41" s="106"/>
      <c r="F41" s="24">
        <f>SUM('Stavební rozpočet'!BS12:BS196)</f>
        <v>0</v>
      </c>
      <c r="G41" s="3" t="s">
        <v>224</v>
      </c>
      <c r="H41" s="3" t="s">
        <v>224</v>
      </c>
      <c r="I41" s="24">
        <f t="shared" si="1"/>
        <v>0</v>
      </c>
    </row>
    <row r="42" spans="1:9" ht="15" customHeight="1">
      <c r="A42" s="119" t="s">
        <v>376</v>
      </c>
      <c r="B42" s="110"/>
      <c r="C42" s="110"/>
      <c r="D42" s="110"/>
      <c r="E42" s="106"/>
      <c r="F42" s="24">
        <f>SUM('Stavební rozpočet'!BT12:BT196)</f>
        <v>0</v>
      </c>
      <c r="G42" s="3" t="s">
        <v>224</v>
      </c>
      <c r="H42" s="3" t="s">
        <v>224</v>
      </c>
      <c r="I42" s="24">
        <f t="shared" si="1"/>
        <v>0</v>
      </c>
    </row>
    <row r="43" spans="1:9" ht="15" customHeight="1">
      <c r="A43" s="119" t="s">
        <v>80</v>
      </c>
      <c r="B43" s="110"/>
      <c r="C43" s="110"/>
      <c r="D43" s="110"/>
      <c r="E43" s="106"/>
      <c r="F43" s="24">
        <f>SUM('Stavební rozpočet'!BU12:BU196)</f>
        <v>0</v>
      </c>
      <c r="G43" s="3" t="s">
        <v>224</v>
      </c>
      <c r="H43" s="3" t="s">
        <v>224</v>
      </c>
      <c r="I43" s="24">
        <f t="shared" si="1"/>
        <v>0</v>
      </c>
    </row>
    <row r="44" spans="1:9" ht="15" customHeight="1">
      <c r="A44" s="117" t="s">
        <v>315</v>
      </c>
      <c r="B44" s="81"/>
      <c r="C44" s="81"/>
      <c r="D44" s="81"/>
      <c r="E44" s="103"/>
      <c r="F44" s="25">
        <f>SUM('Stavební rozpočet'!BV12:BV196)</f>
        <v>0</v>
      </c>
      <c r="G44" s="18" t="s">
        <v>224</v>
      </c>
      <c r="H44" s="18" t="s">
        <v>224</v>
      </c>
      <c r="I44" s="25">
        <f t="shared" si="1"/>
        <v>0</v>
      </c>
    </row>
    <row r="45" spans="1:9" ht="15" customHeight="1">
      <c r="A45" s="120" t="s">
        <v>252</v>
      </c>
      <c r="B45" s="121"/>
      <c r="C45" s="121"/>
      <c r="D45" s="121"/>
      <c r="E45" s="122"/>
      <c r="F45" s="5" t="s">
        <v>224</v>
      </c>
      <c r="G45" s="14" t="s">
        <v>224</v>
      </c>
      <c r="H45" s="14" t="s">
        <v>224</v>
      </c>
      <c r="I45" s="23">
        <f>SUM(I35:I44)</f>
        <v>50000</v>
      </c>
    </row>
  </sheetData>
  <sheetProtection/>
  <mergeCells count="60">
    <mergeCell ref="H2:H3"/>
    <mergeCell ref="H4:H5"/>
    <mergeCell ref="H6:H7"/>
    <mergeCell ref="H8:H9"/>
    <mergeCell ref="H10:H11"/>
    <mergeCell ref="A1:I1"/>
    <mergeCell ref="A2:B3"/>
    <mergeCell ref="A4:B5"/>
    <mergeCell ref="A6:B7"/>
    <mergeCell ref="A8:B9"/>
    <mergeCell ref="C10:D11"/>
    <mergeCell ref="F2:G3"/>
    <mergeCell ref="F4:G5"/>
    <mergeCell ref="F6:G7"/>
    <mergeCell ref="F8:G9"/>
    <mergeCell ref="F10:G11"/>
    <mergeCell ref="E10:E11"/>
    <mergeCell ref="I2:I3"/>
    <mergeCell ref="I4:I5"/>
    <mergeCell ref="I6:I7"/>
    <mergeCell ref="I8:I9"/>
    <mergeCell ref="I10:I11"/>
    <mergeCell ref="E2:E3"/>
    <mergeCell ref="E4:E5"/>
    <mergeCell ref="E6:E7"/>
    <mergeCell ref="A13:E13"/>
    <mergeCell ref="C2:D3"/>
    <mergeCell ref="C4:D5"/>
    <mergeCell ref="C6:D7"/>
    <mergeCell ref="C8:D9"/>
    <mergeCell ref="A14:E14"/>
    <mergeCell ref="A10:B11"/>
    <mergeCell ref="E8:E9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3:E33"/>
    <mergeCell ref="A34:E34"/>
    <mergeCell ref="A35:E35"/>
    <mergeCell ref="A42:E42"/>
    <mergeCell ref="A43:E43"/>
    <mergeCell ref="A44:E44"/>
    <mergeCell ref="A45:E45"/>
    <mergeCell ref="A36:E36"/>
    <mergeCell ref="A37:E37"/>
    <mergeCell ref="A38:E38"/>
    <mergeCell ref="A39:E39"/>
    <mergeCell ref="A40:E40"/>
    <mergeCell ref="A41:E41"/>
  </mergeCells>
  <printOptions/>
  <pageMargins left="0.394" right="0.394" top="0.591" bottom="0.591" header="0" footer="0"/>
  <pageSetup firstPageNumber="0" useFirstPageNumber="1" fitToHeight="0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99"/>
  <sheetViews>
    <sheetView tabSelected="1" showOutlineSymbols="0" zoomScalePageLayoutView="0" workbookViewId="0" topLeftCell="A1">
      <pane ySplit="11" topLeftCell="A120" activePane="bottomLeft" state="frozen"/>
      <selection pane="topLeft" activeCell="A199" sqref="A199:P199"/>
      <selection pane="bottomLeft" activeCell="D130" sqref="D130:E130"/>
    </sheetView>
  </sheetViews>
  <sheetFormatPr defaultColWidth="14.16015625" defaultRowHeight="15"/>
  <cols>
    <col min="1" max="1" width="4.66015625" style="28" customWidth="1"/>
    <col min="2" max="2" width="0" style="28" hidden="1" customWidth="1"/>
    <col min="3" max="3" width="20.83203125" style="28" customWidth="1"/>
    <col min="4" max="4" width="50" style="28" customWidth="1"/>
    <col min="5" max="5" width="41.66015625" style="28" customWidth="1"/>
    <col min="6" max="6" width="7.83203125" style="28" customWidth="1"/>
    <col min="7" max="7" width="15" style="28" customWidth="1"/>
    <col min="8" max="8" width="14" style="28" customWidth="1"/>
    <col min="9" max="11" width="0" style="28" hidden="1" customWidth="1"/>
    <col min="12" max="12" width="18.33203125" style="28" customWidth="1"/>
    <col min="13" max="15" width="0" style="28" hidden="1" customWidth="1"/>
    <col min="16" max="16" width="15.66015625" style="28" customWidth="1"/>
    <col min="17" max="24" width="14.16015625" style="28" customWidth="1"/>
    <col min="25" max="75" width="14.16015625" style="28" hidden="1" customWidth="1"/>
    <col min="76" max="16384" width="14.16015625" style="28" customWidth="1"/>
  </cols>
  <sheetData>
    <row r="1" spans="1:47" ht="23.25">
      <c r="A1" s="114" t="s">
        <v>181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AS1" s="29">
        <f>SUM(AJ1:AJ2)</f>
        <v>0</v>
      </c>
      <c r="AT1" s="29">
        <f>SUM(AK1:AK2)</f>
        <v>0</v>
      </c>
      <c r="AU1" s="29">
        <f>SUM(AL1:AL2)</f>
        <v>0</v>
      </c>
    </row>
    <row r="2" spans="1:16" ht="15">
      <c r="A2" s="116" t="s">
        <v>19</v>
      </c>
      <c r="B2" s="108"/>
      <c r="C2" s="108"/>
      <c r="D2" s="111" t="s">
        <v>92</v>
      </c>
      <c r="E2" s="111"/>
      <c r="F2" s="108" t="s">
        <v>0</v>
      </c>
      <c r="G2" s="108"/>
      <c r="H2" s="108" t="s">
        <v>310</v>
      </c>
      <c r="I2" s="108" t="s">
        <v>288</v>
      </c>
      <c r="J2" s="108" t="s">
        <v>87</v>
      </c>
      <c r="K2" s="108"/>
      <c r="L2" s="108"/>
      <c r="M2" s="108"/>
      <c r="N2" s="108"/>
      <c r="O2" s="108"/>
      <c r="P2" s="144"/>
    </row>
    <row r="3" spans="1:16" ht="15">
      <c r="A3" s="118"/>
      <c r="B3" s="80"/>
      <c r="C3" s="80"/>
      <c r="D3" s="134"/>
      <c r="E3" s="134"/>
      <c r="F3" s="80"/>
      <c r="G3" s="80"/>
      <c r="H3" s="80"/>
      <c r="I3" s="80"/>
      <c r="J3" s="80"/>
      <c r="K3" s="80"/>
      <c r="L3" s="80"/>
      <c r="M3" s="80"/>
      <c r="N3" s="80"/>
      <c r="O3" s="80"/>
      <c r="P3" s="105"/>
    </row>
    <row r="4" spans="1:16" ht="15">
      <c r="A4" s="118" t="s">
        <v>182</v>
      </c>
      <c r="B4" s="80"/>
      <c r="C4" s="80"/>
      <c r="D4" s="80" t="s">
        <v>255</v>
      </c>
      <c r="E4" s="80"/>
      <c r="F4" s="80" t="s">
        <v>306</v>
      </c>
      <c r="G4" s="80"/>
      <c r="H4" s="80" t="s">
        <v>219</v>
      </c>
      <c r="I4" s="80" t="s">
        <v>222</v>
      </c>
      <c r="J4" s="80" t="s">
        <v>132</v>
      </c>
      <c r="K4" s="80"/>
      <c r="L4" s="80"/>
      <c r="M4" s="80"/>
      <c r="N4" s="80"/>
      <c r="O4" s="80"/>
      <c r="P4" s="105"/>
    </row>
    <row r="5" spans="1:16" ht="15">
      <c r="A5" s="118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105"/>
    </row>
    <row r="6" spans="1:16" ht="15">
      <c r="A6" s="118" t="s">
        <v>30</v>
      </c>
      <c r="B6" s="80"/>
      <c r="C6" s="80"/>
      <c r="D6" s="80" t="s">
        <v>136</v>
      </c>
      <c r="E6" s="80"/>
      <c r="F6" s="80" t="s">
        <v>104</v>
      </c>
      <c r="G6" s="80"/>
      <c r="H6" s="80" t="s">
        <v>310</v>
      </c>
      <c r="I6" s="80" t="s">
        <v>298</v>
      </c>
      <c r="J6" s="80" t="s">
        <v>84</v>
      </c>
      <c r="K6" s="80"/>
      <c r="L6" s="80"/>
      <c r="M6" s="80"/>
      <c r="N6" s="80"/>
      <c r="O6" s="80"/>
      <c r="P6" s="105"/>
    </row>
    <row r="7" spans="1:16" ht="15">
      <c r="A7" s="118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105"/>
    </row>
    <row r="8" spans="1:16" ht="15">
      <c r="A8" s="118" t="s">
        <v>171</v>
      </c>
      <c r="B8" s="80"/>
      <c r="C8" s="80"/>
      <c r="D8" s="80" t="s">
        <v>41</v>
      </c>
      <c r="E8" s="80"/>
      <c r="F8" s="80" t="s">
        <v>188</v>
      </c>
      <c r="G8" s="80"/>
      <c r="H8" s="80" t="s">
        <v>147</v>
      </c>
      <c r="I8" s="80" t="s">
        <v>215</v>
      </c>
      <c r="J8" s="80" t="s">
        <v>358</v>
      </c>
      <c r="K8" s="80"/>
      <c r="L8" s="80"/>
      <c r="M8" s="80"/>
      <c r="N8" s="80"/>
      <c r="O8" s="80"/>
      <c r="P8" s="105"/>
    </row>
    <row r="9" spans="1:16" ht="15">
      <c r="A9" s="118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105"/>
    </row>
    <row r="10" spans="1:75" ht="25.5">
      <c r="A10" s="30" t="s">
        <v>25</v>
      </c>
      <c r="B10" s="31" t="s">
        <v>243</v>
      </c>
      <c r="C10" s="31" t="s">
        <v>108</v>
      </c>
      <c r="D10" s="145" t="s">
        <v>364</v>
      </c>
      <c r="E10" s="146"/>
      <c r="F10" s="31" t="s">
        <v>119</v>
      </c>
      <c r="G10" s="32" t="s">
        <v>195</v>
      </c>
      <c r="H10" s="33" t="s">
        <v>103</v>
      </c>
      <c r="I10" s="34" t="s">
        <v>46</v>
      </c>
      <c r="J10" s="140" t="s">
        <v>206</v>
      </c>
      <c r="K10" s="141"/>
      <c r="L10" s="142"/>
      <c r="M10" s="35" t="s">
        <v>206</v>
      </c>
      <c r="N10" s="141" t="s">
        <v>52</v>
      </c>
      <c r="O10" s="141"/>
      <c r="P10" s="36" t="s">
        <v>83</v>
      </c>
      <c r="BK10" s="37" t="s">
        <v>138</v>
      </c>
      <c r="BL10" s="38" t="s">
        <v>177</v>
      </c>
      <c r="BW10" s="38" t="s">
        <v>368</v>
      </c>
    </row>
    <row r="11" spans="1:62" ht="25.5">
      <c r="A11" s="39" t="s">
        <v>310</v>
      </c>
      <c r="B11" s="40" t="s">
        <v>310</v>
      </c>
      <c r="C11" s="40" t="s">
        <v>310</v>
      </c>
      <c r="D11" s="138" t="s">
        <v>341</v>
      </c>
      <c r="E11" s="139"/>
      <c r="F11" s="40" t="s">
        <v>310</v>
      </c>
      <c r="G11" s="40" t="s">
        <v>310</v>
      </c>
      <c r="H11" s="41" t="s">
        <v>318</v>
      </c>
      <c r="I11" s="42" t="s">
        <v>310</v>
      </c>
      <c r="J11" s="43" t="s">
        <v>15</v>
      </c>
      <c r="K11" s="44" t="s">
        <v>60</v>
      </c>
      <c r="L11" s="45" t="s">
        <v>36</v>
      </c>
      <c r="M11" s="45" t="s">
        <v>263</v>
      </c>
      <c r="N11" s="44" t="s">
        <v>110</v>
      </c>
      <c r="O11" s="41" t="s">
        <v>36</v>
      </c>
      <c r="P11" s="43" t="s">
        <v>77</v>
      </c>
      <c r="Z11" s="37" t="s">
        <v>258</v>
      </c>
      <c r="AA11" s="37" t="s">
        <v>201</v>
      </c>
      <c r="AB11" s="37" t="s">
        <v>349</v>
      </c>
      <c r="AC11" s="37" t="s">
        <v>89</v>
      </c>
      <c r="AD11" s="37" t="s">
        <v>290</v>
      </c>
      <c r="AE11" s="37" t="s">
        <v>127</v>
      </c>
      <c r="AF11" s="37" t="s">
        <v>308</v>
      </c>
      <c r="AG11" s="37" t="s">
        <v>149</v>
      </c>
      <c r="AH11" s="37" t="s">
        <v>79</v>
      </c>
      <c r="BH11" s="37" t="s">
        <v>259</v>
      </c>
      <c r="BI11" s="37" t="s">
        <v>344</v>
      </c>
      <c r="BJ11" s="37" t="s">
        <v>367</v>
      </c>
    </row>
    <row r="12" spans="1:16" ht="15">
      <c r="A12" s="46" t="s">
        <v>224</v>
      </c>
      <c r="B12" s="19" t="s">
        <v>224</v>
      </c>
      <c r="C12" s="19" t="s">
        <v>224</v>
      </c>
      <c r="D12" s="143" t="s">
        <v>63</v>
      </c>
      <c r="E12" s="143"/>
      <c r="F12" s="47" t="s">
        <v>310</v>
      </c>
      <c r="G12" s="47" t="s">
        <v>310</v>
      </c>
      <c r="H12" s="47" t="s">
        <v>310</v>
      </c>
      <c r="I12" s="47" t="s">
        <v>310</v>
      </c>
      <c r="J12" s="48">
        <f>J13+J37+J65+J76+J123+J126+J133+J152+J156+J176+J179+J181+J194</f>
        <v>507119.7906318269</v>
      </c>
      <c r="K12" s="48">
        <f>K13+K37+K65+K76+K123+K126+K133+K152+K156+K176+K179+K181+K194</f>
        <v>386656.9368681731</v>
      </c>
      <c r="L12" s="48">
        <f>L13+L37+L65+L76+L123+L126+L133+L152+L156+L176+L179+L181+L194</f>
        <v>893776.7275</v>
      </c>
      <c r="M12" s="48">
        <f>M13+M37+M65+M76+M123+M126+M133+M152+M156+M176+M179+M181+M194</f>
        <v>1081469.8402749998</v>
      </c>
      <c r="N12" s="49" t="s">
        <v>224</v>
      </c>
      <c r="O12" s="48">
        <f>O13+O37+O65+O76+O123+O126+O133+O152+O156+O176+O179+O181+O194</f>
        <v>14.0083548</v>
      </c>
      <c r="P12" s="50" t="s">
        <v>224</v>
      </c>
    </row>
    <row r="13" spans="1:47" ht="15">
      <c r="A13" s="51" t="s">
        <v>224</v>
      </c>
      <c r="B13" s="7" t="s">
        <v>224</v>
      </c>
      <c r="C13" s="7" t="s">
        <v>237</v>
      </c>
      <c r="D13" s="133" t="s">
        <v>234</v>
      </c>
      <c r="E13" s="133"/>
      <c r="F13" s="52" t="s">
        <v>310</v>
      </c>
      <c r="G13" s="52" t="s">
        <v>310</v>
      </c>
      <c r="H13" s="52" t="s">
        <v>310</v>
      </c>
      <c r="I13" s="52" t="s">
        <v>310</v>
      </c>
      <c r="J13" s="29">
        <f>SUM(J14:J31)</f>
        <v>34980.49136840905</v>
      </c>
      <c r="K13" s="29">
        <f>SUM(K14:K31)</f>
        <v>52269.29283159095</v>
      </c>
      <c r="L13" s="29">
        <f>SUM(L14:L31)</f>
        <v>87249.7842</v>
      </c>
      <c r="M13" s="29">
        <f>SUM(M14:M31)</f>
        <v>105572.238882</v>
      </c>
      <c r="N13" s="37" t="s">
        <v>224</v>
      </c>
      <c r="O13" s="29">
        <f>SUM(O14:O31)</f>
        <v>2.6186597999999996</v>
      </c>
      <c r="P13" s="53" t="s">
        <v>224</v>
      </c>
      <c r="AI13" s="37" t="s">
        <v>224</v>
      </c>
      <c r="AS13" s="29">
        <f>SUM(AJ14:AJ31)</f>
        <v>0</v>
      </c>
      <c r="AT13" s="29">
        <f>SUM(AK14:AK31)</f>
        <v>0</v>
      </c>
      <c r="AU13" s="29">
        <f>SUM(AL14:AL31)</f>
        <v>87249.7842</v>
      </c>
    </row>
    <row r="14" spans="1:75" ht="15">
      <c r="A14" s="27" t="s">
        <v>338</v>
      </c>
      <c r="B14" s="12" t="s">
        <v>224</v>
      </c>
      <c r="C14" s="12" t="s">
        <v>347</v>
      </c>
      <c r="D14" s="80" t="s">
        <v>373</v>
      </c>
      <c r="E14" s="80"/>
      <c r="F14" s="12" t="s">
        <v>334</v>
      </c>
      <c r="G14" s="54">
        <v>86.02</v>
      </c>
      <c r="H14" s="54">
        <v>301.51</v>
      </c>
      <c r="I14" s="55" t="s">
        <v>230</v>
      </c>
      <c r="J14" s="54">
        <f>G14*AO14</f>
        <v>7968.892861450688</v>
      </c>
      <c r="K14" s="54">
        <f>G14*AP14</f>
        <v>17966.997338549307</v>
      </c>
      <c r="L14" s="54">
        <f>G14*H14</f>
        <v>25935.890199999998</v>
      </c>
      <c r="M14" s="54">
        <f>L14*(1+BW14/100)</f>
        <v>31382.427141999997</v>
      </c>
      <c r="N14" s="54">
        <v>0.00431</v>
      </c>
      <c r="O14" s="54">
        <f>G14*N14</f>
        <v>0.37074619999999997</v>
      </c>
      <c r="P14" s="56" t="s">
        <v>157</v>
      </c>
      <c r="Z14" s="54">
        <f>IF(AQ14="5",BJ14,0)</f>
        <v>0</v>
      </c>
      <c r="AB14" s="54">
        <f>IF(AQ14="1",BH14,0)</f>
        <v>7968.892861450688</v>
      </c>
      <c r="AC14" s="54">
        <f>IF(AQ14="1",BI14,0)</f>
        <v>17966.997338549307</v>
      </c>
      <c r="AD14" s="54">
        <f>IF(AQ14="7",BH14,0)</f>
        <v>0</v>
      </c>
      <c r="AE14" s="54">
        <f>IF(AQ14="7",BI14,0)</f>
        <v>0</v>
      </c>
      <c r="AF14" s="54">
        <f>IF(AQ14="2",BH14,0)</f>
        <v>0</v>
      </c>
      <c r="AG14" s="54">
        <f>IF(AQ14="2",BI14,0)</f>
        <v>0</v>
      </c>
      <c r="AH14" s="54">
        <f>IF(AQ14="0",BJ14,0)</f>
        <v>0</v>
      </c>
      <c r="AI14" s="37" t="s">
        <v>224</v>
      </c>
      <c r="AJ14" s="54">
        <f>IF(AN14=0,L14,0)</f>
        <v>0</v>
      </c>
      <c r="AK14" s="54">
        <f>IF(AN14=12,L14,0)</f>
        <v>0</v>
      </c>
      <c r="AL14" s="54">
        <f>IF(AN14=21,L14,0)</f>
        <v>25935.890199999998</v>
      </c>
      <c r="AN14" s="54">
        <v>21</v>
      </c>
      <c r="AO14" s="54">
        <f>H14*0.307253493132489</f>
        <v>92.64000071437675</v>
      </c>
      <c r="AP14" s="54">
        <f>H14*(1-0.307253493132489)</f>
        <v>208.8699992856232</v>
      </c>
      <c r="AQ14" s="55" t="s">
        <v>338</v>
      </c>
      <c r="AV14" s="54">
        <f>AW14+AX14</f>
        <v>25935.890199999994</v>
      </c>
      <c r="AW14" s="54">
        <f>G14*AO14</f>
        <v>7968.892861450688</v>
      </c>
      <c r="AX14" s="54">
        <f>G14*AP14</f>
        <v>17966.997338549307</v>
      </c>
      <c r="AY14" s="55" t="s">
        <v>203</v>
      </c>
      <c r="AZ14" s="55" t="s">
        <v>329</v>
      </c>
      <c r="BA14" s="37" t="s">
        <v>251</v>
      </c>
      <c r="BC14" s="54">
        <f>AW14+AX14</f>
        <v>25935.890199999994</v>
      </c>
      <c r="BD14" s="54">
        <f>H14/(100-BE14)*100</f>
        <v>301.51</v>
      </c>
      <c r="BE14" s="54">
        <v>0</v>
      </c>
      <c r="BF14" s="54">
        <f>O14</f>
        <v>0.37074619999999997</v>
      </c>
      <c r="BH14" s="54">
        <f>G14*AO14</f>
        <v>7968.892861450688</v>
      </c>
      <c r="BI14" s="54">
        <f>G14*AP14</f>
        <v>17966.997338549307</v>
      </c>
      <c r="BJ14" s="54">
        <f>G14*H14</f>
        <v>25935.890199999998</v>
      </c>
      <c r="BK14" s="54"/>
      <c r="BL14" s="54">
        <v>61</v>
      </c>
      <c r="BW14" s="54" t="str">
        <f>I14</f>
        <v>21</v>
      </c>
    </row>
    <row r="15" spans="1:16" ht="15">
      <c r="A15" s="57"/>
      <c r="D15" s="135" t="s">
        <v>384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6"/>
    </row>
    <row r="16" spans="1:16" ht="15">
      <c r="A16" s="57"/>
      <c r="D16" s="58" t="s">
        <v>299</v>
      </c>
      <c r="E16" s="59" t="s">
        <v>261</v>
      </c>
      <c r="G16" s="60">
        <v>23.400000000000002</v>
      </c>
      <c r="P16" s="61"/>
    </row>
    <row r="17" spans="1:16" ht="15">
      <c r="A17" s="57"/>
      <c r="D17" s="58" t="s">
        <v>113</v>
      </c>
      <c r="E17" s="59" t="s">
        <v>71</v>
      </c>
      <c r="G17" s="60">
        <v>2.4000000000000004</v>
      </c>
      <c r="P17" s="61"/>
    </row>
    <row r="18" spans="1:16" ht="15">
      <c r="A18" s="57"/>
      <c r="D18" s="58" t="s">
        <v>17</v>
      </c>
      <c r="E18" s="59" t="s">
        <v>312</v>
      </c>
      <c r="G18" s="60">
        <v>54.6</v>
      </c>
      <c r="P18" s="61"/>
    </row>
    <row r="19" spans="1:16" ht="15">
      <c r="A19" s="57"/>
      <c r="D19" s="58" t="s">
        <v>353</v>
      </c>
      <c r="E19" s="59" t="s">
        <v>202</v>
      </c>
      <c r="G19" s="60">
        <v>5.62</v>
      </c>
      <c r="P19" s="61"/>
    </row>
    <row r="20" spans="1:75" ht="15">
      <c r="A20" s="27" t="s">
        <v>221</v>
      </c>
      <c r="B20" s="12" t="s">
        <v>224</v>
      </c>
      <c r="C20" s="12" t="s">
        <v>51</v>
      </c>
      <c r="D20" s="80" t="s">
        <v>385</v>
      </c>
      <c r="E20" s="80"/>
      <c r="F20" s="12" t="s">
        <v>334</v>
      </c>
      <c r="G20" s="54">
        <v>80.4</v>
      </c>
      <c r="H20" s="54">
        <v>360.01</v>
      </c>
      <c r="I20" s="55" t="s">
        <v>230</v>
      </c>
      <c r="J20" s="54">
        <f>G20*AO20</f>
        <v>10904.653506958359</v>
      </c>
      <c r="K20" s="54">
        <f>G20*AP20</f>
        <v>18040.150493041645</v>
      </c>
      <c r="L20" s="54">
        <f>G20*H20</f>
        <v>28944.804</v>
      </c>
      <c r="M20" s="54">
        <f>L20*(1+BW20/100)</f>
        <v>35023.21284</v>
      </c>
      <c r="N20" s="54">
        <v>0.02015</v>
      </c>
      <c r="O20" s="54">
        <f>G20*N20</f>
        <v>1.6200600000000003</v>
      </c>
      <c r="P20" s="56" t="s">
        <v>157</v>
      </c>
      <c r="Z20" s="54">
        <f>IF(AQ20="5",BJ20,0)</f>
        <v>0</v>
      </c>
      <c r="AB20" s="54">
        <f>IF(AQ20="1",BH20,0)</f>
        <v>10904.653506958359</v>
      </c>
      <c r="AC20" s="54">
        <f>IF(AQ20="1",BI20,0)</f>
        <v>18040.150493041645</v>
      </c>
      <c r="AD20" s="54">
        <f>IF(AQ20="7",BH20,0)</f>
        <v>0</v>
      </c>
      <c r="AE20" s="54">
        <f>IF(AQ20="7",BI20,0)</f>
        <v>0</v>
      </c>
      <c r="AF20" s="54">
        <f>IF(AQ20="2",BH20,0)</f>
        <v>0</v>
      </c>
      <c r="AG20" s="54">
        <f>IF(AQ20="2",BI20,0)</f>
        <v>0</v>
      </c>
      <c r="AH20" s="54">
        <f>IF(AQ20="0",BJ20,0)</f>
        <v>0</v>
      </c>
      <c r="AI20" s="37" t="s">
        <v>224</v>
      </c>
      <c r="AJ20" s="54">
        <f>IF(AN20=0,L20,0)</f>
        <v>0</v>
      </c>
      <c r="AK20" s="54">
        <f>IF(AN20=12,L20,0)</f>
        <v>0</v>
      </c>
      <c r="AL20" s="54">
        <f>IF(AN20=21,L20,0)</f>
        <v>28944.804</v>
      </c>
      <c r="AN20" s="54">
        <v>21</v>
      </c>
      <c r="AO20" s="54">
        <f>H20*0.37673958707609</f>
        <v>135.63001874326315</v>
      </c>
      <c r="AP20" s="54">
        <f>H20*(1-0.37673958707609)</f>
        <v>224.37998125673684</v>
      </c>
      <c r="AQ20" s="55" t="s">
        <v>338</v>
      </c>
      <c r="AV20" s="54">
        <f>AW20+AX20</f>
        <v>28944.804000000004</v>
      </c>
      <c r="AW20" s="54">
        <f>G20*AO20</f>
        <v>10904.653506958359</v>
      </c>
      <c r="AX20" s="54">
        <f>G20*AP20</f>
        <v>18040.150493041645</v>
      </c>
      <c r="AY20" s="55" t="s">
        <v>203</v>
      </c>
      <c r="AZ20" s="55" t="s">
        <v>329</v>
      </c>
      <c r="BA20" s="37" t="s">
        <v>251</v>
      </c>
      <c r="BC20" s="54">
        <f>AW20+AX20</f>
        <v>28944.804000000004</v>
      </c>
      <c r="BD20" s="54">
        <f>H20/(100-BE20)*100</f>
        <v>360.01</v>
      </c>
      <c r="BE20" s="54">
        <v>0</v>
      </c>
      <c r="BF20" s="54">
        <f>O20</f>
        <v>1.6200600000000003</v>
      </c>
      <c r="BH20" s="54">
        <f>G20*AO20</f>
        <v>10904.653506958359</v>
      </c>
      <c r="BI20" s="54">
        <f>G20*AP20</f>
        <v>18040.150493041645</v>
      </c>
      <c r="BJ20" s="54">
        <f>G20*H20</f>
        <v>28944.804</v>
      </c>
      <c r="BK20" s="54"/>
      <c r="BL20" s="54">
        <v>61</v>
      </c>
      <c r="BW20" s="54" t="str">
        <f>I20</f>
        <v>21</v>
      </c>
    </row>
    <row r="21" spans="1:16" ht="15">
      <c r="A21" s="57"/>
      <c r="D21" s="135" t="s">
        <v>386</v>
      </c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6"/>
    </row>
    <row r="22" spans="1:16" ht="15">
      <c r="A22" s="57"/>
      <c r="D22" s="58" t="s">
        <v>299</v>
      </c>
      <c r="E22" s="59" t="s">
        <v>261</v>
      </c>
      <c r="G22" s="60">
        <v>23.400000000000002</v>
      </c>
      <c r="P22" s="61"/>
    </row>
    <row r="23" spans="1:16" ht="15">
      <c r="A23" s="57"/>
      <c r="D23" s="58" t="s">
        <v>113</v>
      </c>
      <c r="E23" s="59" t="s">
        <v>71</v>
      </c>
      <c r="G23" s="60">
        <v>2.4000000000000004</v>
      </c>
      <c r="P23" s="61"/>
    </row>
    <row r="24" spans="1:16" ht="15">
      <c r="A24" s="57"/>
      <c r="D24" s="58" t="s">
        <v>17</v>
      </c>
      <c r="E24" s="59" t="s">
        <v>312</v>
      </c>
      <c r="G24" s="60">
        <v>54.6</v>
      </c>
      <c r="P24" s="61"/>
    </row>
    <row r="25" spans="1:75" ht="15">
      <c r="A25" s="27" t="s">
        <v>297</v>
      </c>
      <c r="B25" s="12" t="s">
        <v>224</v>
      </c>
      <c r="C25" s="12" t="s">
        <v>281</v>
      </c>
      <c r="D25" s="80" t="s">
        <v>262</v>
      </c>
      <c r="E25" s="80"/>
      <c r="F25" s="12" t="s">
        <v>334</v>
      </c>
      <c r="G25" s="54">
        <v>5.62</v>
      </c>
      <c r="H25" s="54">
        <v>208.5</v>
      </c>
      <c r="I25" s="55" t="s">
        <v>230</v>
      </c>
      <c r="J25" s="54">
        <f>G25*AO25</f>
        <v>254.5297999999997</v>
      </c>
      <c r="K25" s="54">
        <f>G25*AP25</f>
        <v>917.2402000000004</v>
      </c>
      <c r="L25" s="54">
        <f>G25*H25</f>
        <v>1171.77</v>
      </c>
      <c r="M25" s="54">
        <f>L25*(1+BW25/100)</f>
        <v>1417.8417</v>
      </c>
      <c r="N25" s="54">
        <v>0.02636</v>
      </c>
      <c r="O25" s="54">
        <f>G25*N25</f>
        <v>0.1481432</v>
      </c>
      <c r="P25" s="56" t="s">
        <v>157</v>
      </c>
      <c r="Z25" s="54">
        <f>IF(AQ25="5",BJ25,0)</f>
        <v>0</v>
      </c>
      <c r="AB25" s="54">
        <f>IF(AQ25="1",BH25,0)</f>
        <v>254.5297999999997</v>
      </c>
      <c r="AC25" s="54">
        <f>IF(AQ25="1",BI25,0)</f>
        <v>917.2402000000004</v>
      </c>
      <c r="AD25" s="54">
        <f>IF(AQ25="7",BH25,0)</f>
        <v>0</v>
      </c>
      <c r="AE25" s="54">
        <f>IF(AQ25="7",BI25,0)</f>
        <v>0</v>
      </c>
      <c r="AF25" s="54">
        <f>IF(AQ25="2",BH25,0)</f>
        <v>0</v>
      </c>
      <c r="AG25" s="54">
        <f>IF(AQ25="2",BI25,0)</f>
        <v>0</v>
      </c>
      <c r="AH25" s="54">
        <f>IF(AQ25="0",BJ25,0)</f>
        <v>0</v>
      </c>
      <c r="AI25" s="37" t="s">
        <v>224</v>
      </c>
      <c r="AJ25" s="54">
        <f>IF(AN25=0,L25,0)</f>
        <v>0</v>
      </c>
      <c r="AK25" s="54">
        <f>IF(AN25=12,L25,0)</f>
        <v>0</v>
      </c>
      <c r="AL25" s="54">
        <f>IF(AN25=21,L25,0)</f>
        <v>1171.77</v>
      </c>
      <c r="AN25" s="54">
        <v>21</v>
      </c>
      <c r="AO25" s="54">
        <f>H25*0.217218225419664</f>
        <v>45.28999999999995</v>
      </c>
      <c r="AP25" s="54">
        <f>H25*(1-0.217218225419664)</f>
        <v>163.21000000000006</v>
      </c>
      <c r="AQ25" s="55" t="s">
        <v>338</v>
      </c>
      <c r="AV25" s="54">
        <f>AW25+AX25</f>
        <v>1171.7700000000002</v>
      </c>
      <c r="AW25" s="54">
        <f>G25*AO25</f>
        <v>254.5297999999997</v>
      </c>
      <c r="AX25" s="54">
        <f>G25*AP25</f>
        <v>917.2402000000004</v>
      </c>
      <c r="AY25" s="55" t="s">
        <v>203</v>
      </c>
      <c r="AZ25" s="55" t="s">
        <v>329</v>
      </c>
      <c r="BA25" s="37" t="s">
        <v>251</v>
      </c>
      <c r="BC25" s="54">
        <f>AW25+AX25</f>
        <v>1171.7700000000002</v>
      </c>
      <c r="BD25" s="54">
        <f>H25/(100-BE25)*100</f>
        <v>208.5</v>
      </c>
      <c r="BE25" s="54">
        <v>0</v>
      </c>
      <c r="BF25" s="54">
        <f>O25</f>
        <v>0.1481432</v>
      </c>
      <c r="BH25" s="54">
        <f>G25*AO25</f>
        <v>254.5297999999997</v>
      </c>
      <c r="BI25" s="54">
        <f>G25*AP25</f>
        <v>917.2402000000004</v>
      </c>
      <c r="BJ25" s="54">
        <f>G25*H25</f>
        <v>1171.77</v>
      </c>
      <c r="BK25" s="54"/>
      <c r="BL25" s="54">
        <v>61</v>
      </c>
      <c r="BW25" s="54" t="str">
        <f>I25</f>
        <v>21</v>
      </c>
    </row>
    <row r="26" spans="1:16" ht="15">
      <c r="A26" s="57"/>
      <c r="D26" s="58" t="s">
        <v>353</v>
      </c>
      <c r="E26" s="59" t="s">
        <v>202</v>
      </c>
      <c r="G26" s="60">
        <v>5.62</v>
      </c>
      <c r="P26" s="61"/>
    </row>
    <row r="27" spans="1:75" ht="15">
      <c r="A27" s="27" t="s">
        <v>39</v>
      </c>
      <c r="B27" s="12" t="s">
        <v>224</v>
      </c>
      <c r="C27" s="12" t="s">
        <v>377</v>
      </c>
      <c r="D27" s="80" t="s">
        <v>227</v>
      </c>
      <c r="E27" s="80"/>
      <c r="F27" s="12" t="s">
        <v>282</v>
      </c>
      <c r="G27" s="54">
        <v>160.8</v>
      </c>
      <c r="H27" s="54">
        <v>70.5</v>
      </c>
      <c r="I27" s="55" t="s">
        <v>230</v>
      </c>
      <c r="J27" s="54">
        <f>G27*AO27</f>
        <v>11336.400000000001</v>
      </c>
      <c r="K27" s="54">
        <f>G27*AP27</f>
        <v>0</v>
      </c>
      <c r="L27" s="54">
        <f>G27*H27</f>
        <v>11336.400000000001</v>
      </c>
      <c r="M27" s="54">
        <f>L27*(1+BW27/100)</f>
        <v>13717.044000000002</v>
      </c>
      <c r="N27" s="54">
        <v>0.00046</v>
      </c>
      <c r="O27" s="54">
        <f>G27*N27</f>
        <v>0.073968</v>
      </c>
      <c r="P27" s="56" t="s">
        <v>157</v>
      </c>
      <c r="Z27" s="54">
        <f>IF(AQ27="5",BJ27,0)</f>
        <v>0</v>
      </c>
      <c r="AB27" s="54">
        <f>IF(AQ27="1",BH27,0)</f>
        <v>11336.400000000001</v>
      </c>
      <c r="AC27" s="54">
        <f>IF(AQ27="1",BI27,0)</f>
        <v>0</v>
      </c>
      <c r="AD27" s="54">
        <f>IF(AQ27="7",BH27,0)</f>
        <v>0</v>
      </c>
      <c r="AE27" s="54">
        <f>IF(AQ27="7",BI27,0)</f>
        <v>0</v>
      </c>
      <c r="AF27" s="54">
        <f>IF(AQ27="2",BH27,0)</f>
        <v>0</v>
      </c>
      <c r="AG27" s="54">
        <f>IF(AQ27="2",BI27,0)</f>
        <v>0</v>
      </c>
      <c r="AH27" s="54">
        <f>IF(AQ27="0",BJ27,0)</f>
        <v>0</v>
      </c>
      <c r="AI27" s="37" t="s">
        <v>224</v>
      </c>
      <c r="AJ27" s="54">
        <f>IF(AN27=0,L27,0)</f>
        <v>0</v>
      </c>
      <c r="AK27" s="54">
        <f>IF(AN27=12,L27,0)</f>
        <v>0</v>
      </c>
      <c r="AL27" s="54">
        <f>IF(AN27=21,L27,0)</f>
        <v>11336.400000000001</v>
      </c>
      <c r="AN27" s="54">
        <v>21</v>
      </c>
      <c r="AO27" s="54">
        <f>H27*1</f>
        <v>70.5</v>
      </c>
      <c r="AP27" s="54">
        <f>H27*(1-1)</f>
        <v>0</v>
      </c>
      <c r="AQ27" s="55" t="s">
        <v>338</v>
      </c>
      <c r="AV27" s="54">
        <f>AW27+AX27</f>
        <v>11336.400000000001</v>
      </c>
      <c r="AW27" s="54">
        <f>G27*AO27</f>
        <v>11336.400000000001</v>
      </c>
      <c r="AX27" s="54">
        <f>G27*AP27</f>
        <v>0</v>
      </c>
      <c r="AY27" s="55" t="s">
        <v>203</v>
      </c>
      <c r="AZ27" s="55" t="s">
        <v>329</v>
      </c>
      <c r="BA27" s="37" t="s">
        <v>251</v>
      </c>
      <c r="BC27" s="54">
        <f>AW27+AX27</f>
        <v>11336.400000000001</v>
      </c>
      <c r="BD27" s="54">
        <f>H27/(100-BE27)*100</f>
        <v>70.5</v>
      </c>
      <c r="BE27" s="54">
        <v>0</v>
      </c>
      <c r="BF27" s="54">
        <f>O27</f>
        <v>0.073968</v>
      </c>
      <c r="BH27" s="54">
        <f>G27*AO27</f>
        <v>11336.400000000001</v>
      </c>
      <c r="BI27" s="54">
        <f>G27*AP27</f>
        <v>0</v>
      </c>
      <c r="BJ27" s="54">
        <f>G27*H27</f>
        <v>11336.400000000001</v>
      </c>
      <c r="BK27" s="54"/>
      <c r="BL27" s="54">
        <v>61</v>
      </c>
      <c r="BW27" s="54" t="str">
        <f>I27</f>
        <v>21</v>
      </c>
    </row>
    <row r="28" spans="1:16" ht="15">
      <c r="A28" s="57"/>
      <c r="D28" s="58" t="s">
        <v>14</v>
      </c>
      <c r="E28" s="59" t="s">
        <v>261</v>
      </c>
      <c r="G28" s="60">
        <v>46.800000000000004</v>
      </c>
      <c r="P28" s="61"/>
    </row>
    <row r="29" spans="1:16" ht="15">
      <c r="A29" s="57"/>
      <c r="D29" s="58" t="s">
        <v>105</v>
      </c>
      <c r="E29" s="59" t="s">
        <v>71</v>
      </c>
      <c r="G29" s="60">
        <v>4.800000000000001</v>
      </c>
      <c r="P29" s="61"/>
    </row>
    <row r="30" spans="1:16" ht="15">
      <c r="A30" s="57"/>
      <c r="D30" s="58" t="s">
        <v>64</v>
      </c>
      <c r="E30" s="59" t="s">
        <v>312</v>
      </c>
      <c r="G30" s="60">
        <v>109.2</v>
      </c>
      <c r="P30" s="61"/>
    </row>
    <row r="31" spans="1:75" ht="15">
      <c r="A31" s="27" t="s">
        <v>179</v>
      </c>
      <c r="B31" s="12" t="s">
        <v>224</v>
      </c>
      <c r="C31" s="12" t="s">
        <v>162</v>
      </c>
      <c r="D31" s="80" t="s">
        <v>118</v>
      </c>
      <c r="E31" s="80"/>
      <c r="F31" s="12" t="s">
        <v>282</v>
      </c>
      <c r="G31" s="54">
        <v>170.48</v>
      </c>
      <c r="H31" s="54">
        <v>116.5</v>
      </c>
      <c r="I31" s="55" t="s">
        <v>230</v>
      </c>
      <c r="J31" s="54">
        <f>G31*AO31</f>
        <v>4516.015199999999</v>
      </c>
      <c r="K31" s="54">
        <f>G31*AP31</f>
        <v>15344.9048</v>
      </c>
      <c r="L31" s="54">
        <f>G31*H31</f>
        <v>19860.92</v>
      </c>
      <c r="M31" s="54">
        <f>L31*(1+BW31/100)</f>
        <v>24031.7132</v>
      </c>
      <c r="N31" s="54">
        <v>0.00238</v>
      </c>
      <c r="O31" s="54">
        <f>G31*N31</f>
        <v>0.4057424</v>
      </c>
      <c r="P31" s="56" t="s">
        <v>157</v>
      </c>
      <c r="Z31" s="54">
        <f>IF(AQ31="5",BJ31,0)</f>
        <v>0</v>
      </c>
      <c r="AB31" s="54">
        <f>IF(AQ31="1",BH31,0)</f>
        <v>4516.015199999999</v>
      </c>
      <c r="AC31" s="54">
        <f>IF(AQ31="1",BI31,0)</f>
        <v>15344.9048</v>
      </c>
      <c r="AD31" s="54">
        <f>IF(AQ31="7",BH31,0)</f>
        <v>0</v>
      </c>
      <c r="AE31" s="54">
        <f>IF(AQ31="7",BI31,0)</f>
        <v>0</v>
      </c>
      <c r="AF31" s="54">
        <f>IF(AQ31="2",BH31,0)</f>
        <v>0</v>
      </c>
      <c r="AG31" s="54">
        <f>IF(AQ31="2",BI31,0)</f>
        <v>0</v>
      </c>
      <c r="AH31" s="54">
        <f>IF(AQ31="0",BJ31,0)</f>
        <v>0</v>
      </c>
      <c r="AI31" s="37" t="s">
        <v>224</v>
      </c>
      <c r="AJ31" s="54">
        <f>IF(AN31=0,L31,0)</f>
        <v>0</v>
      </c>
      <c r="AK31" s="54">
        <f>IF(AN31=12,L31,0)</f>
        <v>0</v>
      </c>
      <c r="AL31" s="54">
        <f>IF(AN31=21,L31,0)</f>
        <v>19860.92</v>
      </c>
      <c r="AN31" s="54">
        <v>21</v>
      </c>
      <c r="AO31" s="54">
        <f>H31*0.227381974248927</f>
        <v>26.489999999999995</v>
      </c>
      <c r="AP31" s="54">
        <f>H31*(1-0.227381974248927)</f>
        <v>90.01</v>
      </c>
      <c r="AQ31" s="55" t="s">
        <v>338</v>
      </c>
      <c r="AV31" s="54">
        <f>AW31+AX31</f>
        <v>19860.92</v>
      </c>
      <c r="AW31" s="54">
        <f>G31*AO31</f>
        <v>4516.015199999999</v>
      </c>
      <c r="AX31" s="54">
        <f>G31*AP31</f>
        <v>15344.9048</v>
      </c>
      <c r="AY31" s="55" t="s">
        <v>203</v>
      </c>
      <c r="AZ31" s="55" t="s">
        <v>329</v>
      </c>
      <c r="BA31" s="37" t="s">
        <v>251</v>
      </c>
      <c r="BC31" s="54">
        <f>AW31+AX31</f>
        <v>19860.92</v>
      </c>
      <c r="BD31" s="54">
        <f>H31/(100-BE31)*100</f>
        <v>116.5</v>
      </c>
      <c r="BE31" s="54">
        <v>0</v>
      </c>
      <c r="BF31" s="54">
        <f>O31</f>
        <v>0.4057424</v>
      </c>
      <c r="BH31" s="54">
        <f>G31*AO31</f>
        <v>4516.015199999999</v>
      </c>
      <c r="BI31" s="54">
        <f>G31*AP31</f>
        <v>15344.9048</v>
      </c>
      <c r="BJ31" s="54">
        <f>G31*H31</f>
        <v>19860.92</v>
      </c>
      <c r="BK31" s="54"/>
      <c r="BL31" s="54">
        <v>61</v>
      </c>
      <c r="BW31" s="54" t="str">
        <f>I31</f>
        <v>21</v>
      </c>
    </row>
    <row r="32" spans="1:16" ht="15">
      <c r="A32" s="57"/>
      <c r="D32" s="135" t="s">
        <v>28</v>
      </c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6"/>
    </row>
    <row r="33" spans="1:16" ht="15">
      <c r="A33" s="57"/>
      <c r="D33" s="58" t="s">
        <v>43</v>
      </c>
      <c r="E33" s="59" t="s">
        <v>202</v>
      </c>
      <c r="G33" s="60">
        <v>9.680000000000001</v>
      </c>
      <c r="P33" s="61"/>
    </row>
    <row r="34" spans="1:16" ht="15">
      <c r="A34" s="57"/>
      <c r="D34" s="58" t="s">
        <v>14</v>
      </c>
      <c r="E34" s="59" t="s">
        <v>261</v>
      </c>
      <c r="G34" s="60">
        <v>46.800000000000004</v>
      </c>
      <c r="P34" s="61"/>
    </row>
    <row r="35" spans="1:16" ht="15">
      <c r="A35" s="57"/>
      <c r="D35" s="58" t="s">
        <v>105</v>
      </c>
      <c r="E35" s="59" t="s">
        <v>71</v>
      </c>
      <c r="G35" s="60">
        <v>4.800000000000001</v>
      </c>
      <c r="P35" s="61"/>
    </row>
    <row r="36" spans="1:16" ht="15">
      <c r="A36" s="57"/>
      <c r="D36" s="58" t="s">
        <v>64</v>
      </c>
      <c r="E36" s="59" t="s">
        <v>312</v>
      </c>
      <c r="G36" s="60">
        <v>109.2</v>
      </c>
      <c r="P36" s="61"/>
    </row>
    <row r="37" spans="1:47" ht="15">
      <c r="A37" s="51" t="s">
        <v>224</v>
      </c>
      <c r="B37" s="7" t="s">
        <v>224</v>
      </c>
      <c r="C37" s="7" t="s">
        <v>371</v>
      </c>
      <c r="D37" s="133" t="s">
        <v>278</v>
      </c>
      <c r="E37" s="133"/>
      <c r="F37" s="52" t="s">
        <v>310</v>
      </c>
      <c r="G37" s="52" t="s">
        <v>310</v>
      </c>
      <c r="H37" s="52" t="s">
        <v>310</v>
      </c>
      <c r="I37" s="52" t="s">
        <v>310</v>
      </c>
      <c r="J37" s="29">
        <f>SUM(J38:J60)</f>
        <v>80293.42027796649</v>
      </c>
      <c r="K37" s="29">
        <f>SUM(K38:K60)</f>
        <v>69434.0091220335</v>
      </c>
      <c r="L37" s="29">
        <f>SUM(L38:L60)</f>
        <v>149727.4294</v>
      </c>
      <c r="M37" s="29">
        <f>SUM(M38:M60)</f>
        <v>181170.189574</v>
      </c>
      <c r="N37" s="37" t="s">
        <v>224</v>
      </c>
      <c r="O37" s="29">
        <f>SUM(O38:O60)</f>
        <v>5.2908222</v>
      </c>
      <c r="P37" s="53" t="s">
        <v>224</v>
      </c>
      <c r="AI37" s="37" t="s">
        <v>224</v>
      </c>
      <c r="AS37" s="29">
        <f>SUM(AJ38:AJ60)</f>
        <v>0</v>
      </c>
      <c r="AT37" s="29">
        <f>SUM(AK38:AK60)</f>
        <v>0</v>
      </c>
      <c r="AU37" s="29">
        <f>SUM(AL38:AL60)</f>
        <v>149727.4294</v>
      </c>
    </row>
    <row r="38" spans="1:75" ht="15">
      <c r="A38" s="27" t="s">
        <v>54</v>
      </c>
      <c r="B38" s="12" t="s">
        <v>224</v>
      </c>
      <c r="C38" s="12" t="s">
        <v>22</v>
      </c>
      <c r="D38" s="80" t="s">
        <v>375</v>
      </c>
      <c r="E38" s="80"/>
      <c r="F38" s="12" t="s">
        <v>282</v>
      </c>
      <c r="G38" s="54">
        <v>170.48</v>
      </c>
      <c r="H38" s="54">
        <v>56.19</v>
      </c>
      <c r="I38" s="55" t="s">
        <v>230</v>
      </c>
      <c r="J38" s="54">
        <f>G38*AO38</f>
        <v>4940.511018900242</v>
      </c>
      <c r="K38" s="54">
        <f>G38*AP38</f>
        <v>4638.760181099758</v>
      </c>
      <c r="L38" s="54">
        <f>G38*H38</f>
        <v>9579.2712</v>
      </c>
      <c r="M38" s="54">
        <f>L38*(1+BW38/100)</f>
        <v>11590.918151999998</v>
      </c>
      <c r="N38" s="54">
        <v>0.00015</v>
      </c>
      <c r="O38" s="54">
        <f>G38*N38</f>
        <v>0.025571999999999998</v>
      </c>
      <c r="P38" s="56" t="s">
        <v>157</v>
      </c>
      <c r="Z38" s="54">
        <f>IF(AQ38="5",BJ38,0)</f>
        <v>0</v>
      </c>
      <c r="AB38" s="54">
        <f>IF(AQ38="1",BH38,0)</f>
        <v>4940.511018900242</v>
      </c>
      <c r="AC38" s="54">
        <f>IF(AQ38="1",BI38,0)</f>
        <v>4638.760181099758</v>
      </c>
      <c r="AD38" s="54">
        <f>IF(AQ38="7",BH38,0)</f>
        <v>0</v>
      </c>
      <c r="AE38" s="54">
        <f>IF(AQ38="7",BI38,0)</f>
        <v>0</v>
      </c>
      <c r="AF38" s="54">
        <f>IF(AQ38="2",BH38,0)</f>
        <v>0</v>
      </c>
      <c r="AG38" s="54">
        <f>IF(AQ38="2",BI38,0)</f>
        <v>0</v>
      </c>
      <c r="AH38" s="54">
        <f>IF(AQ38="0",BJ38,0)</f>
        <v>0</v>
      </c>
      <c r="AI38" s="37" t="s">
        <v>224</v>
      </c>
      <c r="AJ38" s="54">
        <f>IF(AN38=0,L38,0)</f>
        <v>0</v>
      </c>
      <c r="AK38" s="54">
        <f>IF(AN38=12,L38,0)</f>
        <v>0</v>
      </c>
      <c r="AL38" s="54">
        <f>IF(AN38=21,L38,0)</f>
        <v>9579.2712</v>
      </c>
      <c r="AN38" s="54">
        <v>21</v>
      </c>
      <c r="AO38" s="54">
        <f>H38*0.515750198083988</f>
        <v>28.980003630339287</v>
      </c>
      <c r="AP38" s="54">
        <f>H38*(1-0.515750198083988)</f>
        <v>27.20999636966071</v>
      </c>
      <c r="AQ38" s="55" t="s">
        <v>338</v>
      </c>
      <c r="AV38" s="54">
        <f>AW38+AX38</f>
        <v>9579.2712</v>
      </c>
      <c r="AW38" s="54">
        <f>G38*AO38</f>
        <v>4940.511018900242</v>
      </c>
      <c r="AX38" s="54">
        <f>G38*AP38</f>
        <v>4638.760181099758</v>
      </c>
      <c r="AY38" s="55" t="s">
        <v>155</v>
      </c>
      <c r="AZ38" s="55" t="s">
        <v>329</v>
      </c>
      <c r="BA38" s="37" t="s">
        <v>251</v>
      </c>
      <c r="BC38" s="54">
        <f>AW38+AX38</f>
        <v>9579.2712</v>
      </c>
      <c r="BD38" s="54">
        <f>H38/(100-BE38)*100</f>
        <v>56.19</v>
      </c>
      <c r="BE38" s="54">
        <v>0</v>
      </c>
      <c r="BF38" s="54">
        <f>O38</f>
        <v>0.025571999999999998</v>
      </c>
      <c r="BH38" s="54">
        <f>G38*AO38</f>
        <v>4940.511018900242</v>
      </c>
      <c r="BI38" s="54">
        <f>G38*AP38</f>
        <v>4638.760181099758</v>
      </c>
      <c r="BJ38" s="54">
        <f>G38*H38</f>
        <v>9579.2712</v>
      </c>
      <c r="BK38" s="54"/>
      <c r="BL38" s="54">
        <v>62</v>
      </c>
      <c r="BW38" s="54" t="str">
        <f>I38</f>
        <v>21</v>
      </c>
    </row>
    <row r="39" spans="1:16" ht="15">
      <c r="A39" s="57"/>
      <c r="D39" s="135" t="s">
        <v>313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6"/>
    </row>
    <row r="40" spans="1:16" ht="15">
      <c r="A40" s="57"/>
      <c r="D40" s="58" t="s">
        <v>43</v>
      </c>
      <c r="E40" s="59" t="s">
        <v>202</v>
      </c>
      <c r="G40" s="60">
        <v>9.680000000000001</v>
      </c>
      <c r="P40" s="61"/>
    </row>
    <row r="41" spans="1:16" ht="15">
      <c r="A41" s="57"/>
      <c r="D41" s="58" t="s">
        <v>14</v>
      </c>
      <c r="E41" s="59" t="s">
        <v>261</v>
      </c>
      <c r="G41" s="60">
        <v>46.800000000000004</v>
      </c>
      <c r="P41" s="61"/>
    </row>
    <row r="42" spans="1:16" ht="15">
      <c r="A42" s="57"/>
      <c r="D42" s="58" t="s">
        <v>105</v>
      </c>
      <c r="E42" s="59" t="s">
        <v>71</v>
      </c>
      <c r="G42" s="60">
        <v>4.800000000000001</v>
      </c>
      <c r="P42" s="61"/>
    </row>
    <row r="43" spans="1:16" ht="15">
      <c r="A43" s="57"/>
      <c r="D43" s="58" t="s">
        <v>64</v>
      </c>
      <c r="E43" s="59" t="s">
        <v>312</v>
      </c>
      <c r="G43" s="60">
        <v>109.2</v>
      </c>
      <c r="P43" s="61"/>
    </row>
    <row r="44" spans="1:75" ht="15">
      <c r="A44" s="27" t="s">
        <v>340</v>
      </c>
      <c r="B44" s="12" t="s">
        <v>224</v>
      </c>
      <c r="C44" s="12" t="s">
        <v>175</v>
      </c>
      <c r="D44" s="80" t="s">
        <v>236</v>
      </c>
      <c r="E44" s="80"/>
      <c r="F44" s="12" t="s">
        <v>282</v>
      </c>
      <c r="G44" s="54">
        <v>170.48</v>
      </c>
      <c r="H44" s="54">
        <v>67.1</v>
      </c>
      <c r="I44" s="55" t="s">
        <v>230</v>
      </c>
      <c r="J44" s="54">
        <f>G44*AO44</f>
        <v>2301.4795976155715</v>
      </c>
      <c r="K44" s="54">
        <f>G44*AP44</f>
        <v>9137.728402384428</v>
      </c>
      <c r="L44" s="54">
        <f>G44*H44</f>
        <v>11439.207999999999</v>
      </c>
      <c r="M44" s="54">
        <f>L44*(1+BW44/100)</f>
        <v>13841.441679999998</v>
      </c>
      <c r="N44" s="54">
        <v>0.0106</v>
      </c>
      <c r="O44" s="54">
        <f>G44*N44</f>
        <v>1.8070879999999998</v>
      </c>
      <c r="P44" s="56" t="s">
        <v>157</v>
      </c>
      <c r="Z44" s="54">
        <f>IF(AQ44="5",BJ44,0)</f>
        <v>0</v>
      </c>
      <c r="AB44" s="54">
        <f>IF(AQ44="1",BH44,0)</f>
        <v>2301.4795976155715</v>
      </c>
      <c r="AC44" s="54">
        <f>IF(AQ44="1",BI44,0)</f>
        <v>9137.728402384428</v>
      </c>
      <c r="AD44" s="54">
        <f>IF(AQ44="7",BH44,0)</f>
        <v>0</v>
      </c>
      <c r="AE44" s="54">
        <f>IF(AQ44="7",BI44,0)</f>
        <v>0</v>
      </c>
      <c r="AF44" s="54">
        <f>IF(AQ44="2",BH44,0)</f>
        <v>0</v>
      </c>
      <c r="AG44" s="54">
        <f>IF(AQ44="2",BI44,0)</f>
        <v>0</v>
      </c>
      <c r="AH44" s="54">
        <f>IF(AQ44="0",BJ44,0)</f>
        <v>0</v>
      </c>
      <c r="AI44" s="37" t="s">
        <v>224</v>
      </c>
      <c r="AJ44" s="54">
        <f>IF(AN44=0,L44,0)</f>
        <v>0</v>
      </c>
      <c r="AK44" s="54">
        <f>IF(AN44=12,L44,0)</f>
        <v>0</v>
      </c>
      <c r="AL44" s="54">
        <f>IF(AN44=21,L44,0)</f>
        <v>11439.207999999999</v>
      </c>
      <c r="AN44" s="54">
        <v>21</v>
      </c>
      <c r="AO44" s="54">
        <f>H44*0.201192215196679</f>
        <v>13.49999763969716</v>
      </c>
      <c r="AP44" s="54">
        <f>H44*(1-0.201192215196679)</f>
        <v>53.60000236030284</v>
      </c>
      <c r="AQ44" s="55" t="s">
        <v>338</v>
      </c>
      <c r="AV44" s="54">
        <f>AW44+AX44</f>
        <v>11439.207999999999</v>
      </c>
      <c r="AW44" s="54">
        <f>G44*AO44</f>
        <v>2301.4795976155715</v>
      </c>
      <c r="AX44" s="54">
        <f>G44*AP44</f>
        <v>9137.728402384428</v>
      </c>
      <c r="AY44" s="55" t="s">
        <v>155</v>
      </c>
      <c r="AZ44" s="55" t="s">
        <v>329</v>
      </c>
      <c r="BA44" s="37" t="s">
        <v>251</v>
      </c>
      <c r="BC44" s="54">
        <f>AW44+AX44</f>
        <v>11439.207999999999</v>
      </c>
      <c r="BD44" s="54">
        <f>H44/(100-BE44)*100</f>
        <v>67.1</v>
      </c>
      <c r="BE44" s="54">
        <v>0</v>
      </c>
      <c r="BF44" s="54">
        <f>O44</f>
        <v>1.8070879999999998</v>
      </c>
      <c r="BH44" s="54">
        <f>G44*AO44</f>
        <v>2301.4795976155715</v>
      </c>
      <c r="BI44" s="54">
        <f>G44*AP44</f>
        <v>9137.728402384428</v>
      </c>
      <c r="BJ44" s="54">
        <f>G44*H44</f>
        <v>11439.207999999999</v>
      </c>
      <c r="BK44" s="54"/>
      <c r="BL44" s="54">
        <v>62</v>
      </c>
      <c r="BW44" s="54" t="str">
        <f>I44</f>
        <v>21</v>
      </c>
    </row>
    <row r="45" spans="1:16" ht="15">
      <c r="A45" s="57"/>
      <c r="D45" s="58" t="s">
        <v>43</v>
      </c>
      <c r="E45" s="59" t="s">
        <v>202</v>
      </c>
      <c r="G45" s="60">
        <v>9.680000000000001</v>
      </c>
      <c r="P45" s="61"/>
    </row>
    <row r="46" spans="1:16" ht="15">
      <c r="A46" s="57"/>
      <c r="D46" s="58" t="s">
        <v>14</v>
      </c>
      <c r="E46" s="59" t="s">
        <v>261</v>
      </c>
      <c r="G46" s="60">
        <v>46.800000000000004</v>
      </c>
      <c r="P46" s="61"/>
    </row>
    <row r="47" spans="1:16" ht="15">
      <c r="A47" s="57"/>
      <c r="D47" s="58" t="s">
        <v>105</v>
      </c>
      <c r="E47" s="59" t="s">
        <v>71</v>
      </c>
      <c r="G47" s="60">
        <v>4.800000000000001</v>
      </c>
      <c r="P47" s="61"/>
    </row>
    <row r="48" spans="1:16" ht="15">
      <c r="A48" s="57"/>
      <c r="D48" s="58" t="s">
        <v>64</v>
      </c>
      <c r="E48" s="59" t="s">
        <v>312</v>
      </c>
      <c r="G48" s="60">
        <v>109.2</v>
      </c>
      <c r="P48" s="61"/>
    </row>
    <row r="49" spans="1:75" ht="15">
      <c r="A49" s="27" t="s">
        <v>264</v>
      </c>
      <c r="B49" s="12" t="s">
        <v>224</v>
      </c>
      <c r="C49" s="12" t="s">
        <v>311</v>
      </c>
      <c r="D49" s="80" t="s">
        <v>142</v>
      </c>
      <c r="E49" s="80"/>
      <c r="F49" s="12" t="s">
        <v>334</v>
      </c>
      <c r="G49" s="54">
        <v>86.02</v>
      </c>
      <c r="H49" s="54">
        <v>301.51</v>
      </c>
      <c r="I49" s="55" t="s">
        <v>230</v>
      </c>
      <c r="J49" s="54">
        <f>G49*AO49</f>
        <v>7968.892861450688</v>
      </c>
      <c r="K49" s="54">
        <f>G49*AP49</f>
        <v>17966.997338549307</v>
      </c>
      <c r="L49" s="54">
        <f>G49*H49</f>
        <v>25935.890199999998</v>
      </c>
      <c r="M49" s="54">
        <f>L49*(1+BW49/100)</f>
        <v>31382.427141999997</v>
      </c>
      <c r="N49" s="54">
        <v>0.00431</v>
      </c>
      <c r="O49" s="54">
        <f>G49*N49</f>
        <v>0.37074619999999997</v>
      </c>
      <c r="P49" s="56" t="s">
        <v>157</v>
      </c>
      <c r="Z49" s="54">
        <f>IF(AQ49="5",BJ49,0)</f>
        <v>0</v>
      </c>
      <c r="AB49" s="54">
        <f>IF(AQ49="1",BH49,0)</f>
        <v>7968.892861450688</v>
      </c>
      <c r="AC49" s="54">
        <f>IF(AQ49="1",BI49,0)</f>
        <v>17966.997338549307</v>
      </c>
      <c r="AD49" s="54">
        <f>IF(AQ49="7",BH49,0)</f>
        <v>0</v>
      </c>
      <c r="AE49" s="54">
        <f>IF(AQ49="7",BI49,0)</f>
        <v>0</v>
      </c>
      <c r="AF49" s="54">
        <f>IF(AQ49="2",BH49,0)</f>
        <v>0</v>
      </c>
      <c r="AG49" s="54">
        <f>IF(AQ49="2",BI49,0)</f>
        <v>0</v>
      </c>
      <c r="AH49" s="54">
        <f>IF(AQ49="0",BJ49,0)</f>
        <v>0</v>
      </c>
      <c r="AI49" s="37" t="s">
        <v>224</v>
      </c>
      <c r="AJ49" s="54">
        <f>IF(AN49=0,L49,0)</f>
        <v>0</v>
      </c>
      <c r="AK49" s="54">
        <f>IF(AN49=12,L49,0)</f>
        <v>0</v>
      </c>
      <c r="AL49" s="54">
        <f>IF(AN49=21,L49,0)</f>
        <v>25935.890199999998</v>
      </c>
      <c r="AN49" s="54">
        <v>21</v>
      </c>
      <c r="AO49" s="54">
        <f>H49*0.307253493132489</f>
        <v>92.64000071437675</v>
      </c>
      <c r="AP49" s="54">
        <f>H49*(1-0.307253493132489)</f>
        <v>208.8699992856232</v>
      </c>
      <c r="AQ49" s="55" t="s">
        <v>338</v>
      </c>
      <c r="AV49" s="54">
        <f>AW49+AX49</f>
        <v>25935.890199999994</v>
      </c>
      <c r="AW49" s="54">
        <f>G49*AO49</f>
        <v>7968.892861450688</v>
      </c>
      <c r="AX49" s="54">
        <f>G49*AP49</f>
        <v>17966.997338549307</v>
      </c>
      <c r="AY49" s="55" t="s">
        <v>155</v>
      </c>
      <c r="AZ49" s="55" t="s">
        <v>329</v>
      </c>
      <c r="BA49" s="37" t="s">
        <v>251</v>
      </c>
      <c r="BC49" s="54">
        <f>AW49+AX49</f>
        <v>25935.890199999994</v>
      </c>
      <c r="BD49" s="54">
        <f>H49/(100-BE49)*100</f>
        <v>301.51</v>
      </c>
      <c r="BE49" s="54">
        <v>0</v>
      </c>
      <c r="BF49" s="54">
        <f>O49</f>
        <v>0.37074619999999997</v>
      </c>
      <c r="BH49" s="54">
        <f>G49*AO49</f>
        <v>7968.892861450688</v>
      </c>
      <c r="BI49" s="54">
        <f>G49*AP49</f>
        <v>17966.997338549307</v>
      </c>
      <c r="BJ49" s="54">
        <f>G49*H49</f>
        <v>25935.890199999998</v>
      </c>
      <c r="BK49" s="54"/>
      <c r="BL49" s="54">
        <v>62</v>
      </c>
      <c r="BW49" s="54" t="str">
        <f>I49</f>
        <v>21</v>
      </c>
    </row>
    <row r="50" spans="1:16" ht="15">
      <c r="A50" s="57"/>
      <c r="D50" s="135" t="s">
        <v>383</v>
      </c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</row>
    <row r="51" spans="1:16" ht="15">
      <c r="A51" s="57"/>
      <c r="D51" s="58" t="s">
        <v>299</v>
      </c>
      <c r="E51" s="59" t="s">
        <v>261</v>
      </c>
      <c r="G51" s="60">
        <v>23.400000000000002</v>
      </c>
      <c r="P51" s="61"/>
    </row>
    <row r="52" spans="1:16" ht="15">
      <c r="A52" s="57"/>
      <c r="D52" s="58" t="s">
        <v>113</v>
      </c>
      <c r="E52" s="59" t="s">
        <v>71</v>
      </c>
      <c r="G52" s="60">
        <v>2.4000000000000004</v>
      </c>
      <c r="P52" s="61"/>
    </row>
    <row r="53" spans="1:16" ht="15">
      <c r="A53" s="57"/>
      <c r="D53" s="58" t="s">
        <v>17</v>
      </c>
      <c r="E53" s="59" t="s">
        <v>312</v>
      </c>
      <c r="G53" s="60">
        <v>54.6</v>
      </c>
      <c r="P53" s="61"/>
    </row>
    <row r="54" spans="1:16" ht="15">
      <c r="A54" s="57"/>
      <c r="D54" s="58" t="s">
        <v>353</v>
      </c>
      <c r="E54" s="59" t="s">
        <v>202</v>
      </c>
      <c r="G54" s="60">
        <v>5.62</v>
      </c>
      <c r="P54" s="61"/>
    </row>
    <row r="55" spans="1:75" ht="15">
      <c r="A55" s="27" t="s">
        <v>131</v>
      </c>
      <c r="B55" s="12" t="s">
        <v>224</v>
      </c>
      <c r="C55" s="12" t="s">
        <v>326</v>
      </c>
      <c r="D55" s="80" t="s">
        <v>50</v>
      </c>
      <c r="E55" s="80"/>
      <c r="F55" s="12" t="s">
        <v>334</v>
      </c>
      <c r="G55" s="54">
        <v>86.02</v>
      </c>
      <c r="H55" s="54">
        <v>1059</v>
      </c>
      <c r="I55" s="55" t="s">
        <v>230</v>
      </c>
      <c r="J55" s="54">
        <f>G55*AO55</f>
        <v>53404.65679999998</v>
      </c>
      <c r="K55" s="54">
        <f>G55*AP55</f>
        <v>37690.52320000001</v>
      </c>
      <c r="L55" s="54">
        <f>G55*H55</f>
        <v>91095.18</v>
      </c>
      <c r="M55" s="54">
        <f>L55*(1+BW55/100)</f>
        <v>110225.16779999998</v>
      </c>
      <c r="N55" s="54">
        <v>0.035</v>
      </c>
      <c r="O55" s="54">
        <f>G55*N55</f>
        <v>3.0107</v>
      </c>
      <c r="P55" s="56" t="s">
        <v>157</v>
      </c>
      <c r="Z55" s="54">
        <f>IF(AQ55="5",BJ55,0)</f>
        <v>0</v>
      </c>
      <c r="AB55" s="54">
        <f>IF(AQ55="1",BH55,0)</f>
        <v>53404.65679999998</v>
      </c>
      <c r="AC55" s="54">
        <f>IF(AQ55="1",BI55,0)</f>
        <v>37690.52320000001</v>
      </c>
      <c r="AD55" s="54">
        <f>IF(AQ55="7",BH55,0)</f>
        <v>0</v>
      </c>
      <c r="AE55" s="54">
        <f>IF(AQ55="7",BI55,0)</f>
        <v>0</v>
      </c>
      <c r="AF55" s="54">
        <f>IF(AQ55="2",BH55,0)</f>
        <v>0</v>
      </c>
      <c r="AG55" s="54">
        <f>IF(AQ55="2",BI55,0)</f>
        <v>0</v>
      </c>
      <c r="AH55" s="54">
        <f>IF(AQ55="0",BJ55,0)</f>
        <v>0</v>
      </c>
      <c r="AI55" s="37" t="s">
        <v>224</v>
      </c>
      <c r="AJ55" s="54">
        <f>IF(AN55=0,L55,0)</f>
        <v>0</v>
      </c>
      <c r="AK55" s="54">
        <f>IF(AN55=12,L55,0)</f>
        <v>0</v>
      </c>
      <c r="AL55" s="54">
        <f>IF(AN55=21,L55,0)</f>
        <v>91095.18</v>
      </c>
      <c r="AN55" s="54">
        <v>21</v>
      </c>
      <c r="AO55" s="54">
        <f>H55*0.586251180358829</f>
        <v>620.8399999999998</v>
      </c>
      <c r="AP55" s="54">
        <f>H55*(1-0.586251180358829)</f>
        <v>438.16000000000014</v>
      </c>
      <c r="AQ55" s="55" t="s">
        <v>338</v>
      </c>
      <c r="AV55" s="54">
        <f>AW55+AX55</f>
        <v>91095.18</v>
      </c>
      <c r="AW55" s="54">
        <f>G55*AO55</f>
        <v>53404.65679999998</v>
      </c>
      <c r="AX55" s="54">
        <f>G55*AP55</f>
        <v>37690.52320000001</v>
      </c>
      <c r="AY55" s="55" t="s">
        <v>155</v>
      </c>
      <c r="AZ55" s="55" t="s">
        <v>329</v>
      </c>
      <c r="BA55" s="37" t="s">
        <v>251</v>
      </c>
      <c r="BC55" s="54">
        <f>AW55+AX55</f>
        <v>91095.18</v>
      </c>
      <c r="BD55" s="54">
        <f>H55/(100-BE55)*100</f>
        <v>1059</v>
      </c>
      <c r="BE55" s="54">
        <v>0</v>
      </c>
      <c r="BF55" s="54">
        <f>O55</f>
        <v>3.0107</v>
      </c>
      <c r="BH55" s="54">
        <f>G55*AO55</f>
        <v>53404.65679999998</v>
      </c>
      <c r="BI55" s="54">
        <f>G55*AP55</f>
        <v>37690.52320000001</v>
      </c>
      <c r="BJ55" s="54">
        <f>G55*H55</f>
        <v>91095.18</v>
      </c>
      <c r="BK55" s="54"/>
      <c r="BL55" s="54">
        <v>62</v>
      </c>
      <c r="BW55" s="54" t="str">
        <f>I55</f>
        <v>21</v>
      </c>
    </row>
    <row r="56" spans="1:16" ht="15">
      <c r="A56" s="57"/>
      <c r="D56" s="58" t="s">
        <v>299</v>
      </c>
      <c r="E56" s="59" t="s">
        <v>261</v>
      </c>
      <c r="G56" s="60">
        <v>23.400000000000002</v>
      </c>
      <c r="P56" s="61"/>
    </row>
    <row r="57" spans="1:16" ht="15">
      <c r="A57" s="57"/>
      <c r="D57" s="58" t="s">
        <v>113</v>
      </c>
      <c r="E57" s="59" t="s">
        <v>71</v>
      </c>
      <c r="G57" s="60">
        <v>2.4000000000000004</v>
      </c>
      <c r="P57" s="61"/>
    </row>
    <row r="58" spans="1:16" ht="15">
      <c r="A58" s="57"/>
      <c r="D58" s="58" t="s">
        <v>17</v>
      </c>
      <c r="E58" s="59" t="s">
        <v>312</v>
      </c>
      <c r="G58" s="60">
        <v>54.6</v>
      </c>
      <c r="P58" s="61"/>
    </row>
    <row r="59" spans="1:16" ht="15">
      <c r="A59" s="57"/>
      <c r="D59" s="58" t="s">
        <v>353</v>
      </c>
      <c r="E59" s="59" t="s">
        <v>202</v>
      </c>
      <c r="G59" s="60">
        <v>5.62</v>
      </c>
      <c r="P59" s="61"/>
    </row>
    <row r="60" spans="1:75" ht="15">
      <c r="A60" s="27" t="s">
        <v>190</v>
      </c>
      <c r="B60" s="12" t="s">
        <v>224</v>
      </c>
      <c r="C60" s="12" t="s">
        <v>125</v>
      </c>
      <c r="D60" s="80" t="s">
        <v>331</v>
      </c>
      <c r="E60" s="80"/>
      <c r="F60" s="12" t="s">
        <v>282</v>
      </c>
      <c r="G60" s="54">
        <v>170.48</v>
      </c>
      <c r="H60" s="54">
        <v>68.5</v>
      </c>
      <c r="I60" s="55" t="s">
        <v>230</v>
      </c>
      <c r="J60" s="54">
        <f>G60*AO60</f>
        <v>11677.88</v>
      </c>
      <c r="K60" s="54">
        <f>G60*AP60</f>
        <v>0</v>
      </c>
      <c r="L60" s="54">
        <f>G60*H60</f>
        <v>11677.88</v>
      </c>
      <c r="M60" s="54">
        <f>L60*(1+BW60/100)</f>
        <v>14130.234799999998</v>
      </c>
      <c r="N60" s="54">
        <v>0.00045</v>
      </c>
      <c r="O60" s="54">
        <f>G60*N60</f>
        <v>0.07671599999999999</v>
      </c>
      <c r="P60" s="56" t="s">
        <v>157</v>
      </c>
      <c r="Z60" s="54">
        <f>IF(AQ60="5",BJ60,0)</f>
        <v>0</v>
      </c>
      <c r="AB60" s="54">
        <f>IF(AQ60="1",BH60,0)</f>
        <v>11677.88</v>
      </c>
      <c r="AC60" s="54">
        <f>IF(AQ60="1",BI60,0)</f>
        <v>0</v>
      </c>
      <c r="AD60" s="54">
        <f>IF(AQ60="7",BH60,0)</f>
        <v>0</v>
      </c>
      <c r="AE60" s="54">
        <f>IF(AQ60="7",BI60,0)</f>
        <v>0</v>
      </c>
      <c r="AF60" s="54">
        <f>IF(AQ60="2",BH60,0)</f>
        <v>0</v>
      </c>
      <c r="AG60" s="54">
        <f>IF(AQ60="2",BI60,0)</f>
        <v>0</v>
      </c>
      <c r="AH60" s="54">
        <f>IF(AQ60="0",BJ60,0)</f>
        <v>0</v>
      </c>
      <c r="AI60" s="37" t="s">
        <v>224</v>
      </c>
      <c r="AJ60" s="54">
        <f>IF(AN60=0,L60,0)</f>
        <v>0</v>
      </c>
      <c r="AK60" s="54">
        <f>IF(AN60=12,L60,0)</f>
        <v>0</v>
      </c>
      <c r="AL60" s="54">
        <f>IF(AN60=21,L60,0)</f>
        <v>11677.88</v>
      </c>
      <c r="AN60" s="54">
        <v>21</v>
      </c>
      <c r="AO60" s="54">
        <f>H60*1</f>
        <v>68.5</v>
      </c>
      <c r="AP60" s="54">
        <f>H60*(1-1)</f>
        <v>0</v>
      </c>
      <c r="AQ60" s="55" t="s">
        <v>338</v>
      </c>
      <c r="AV60" s="54">
        <f>AW60+AX60</f>
        <v>11677.88</v>
      </c>
      <c r="AW60" s="54">
        <f>G60*AO60</f>
        <v>11677.88</v>
      </c>
      <c r="AX60" s="54">
        <f>G60*AP60</f>
        <v>0</v>
      </c>
      <c r="AY60" s="55" t="s">
        <v>155</v>
      </c>
      <c r="AZ60" s="55" t="s">
        <v>329</v>
      </c>
      <c r="BA60" s="37" t="s">
        <v>251</v>
      </c>
      <c r="BC60" s="54">
        <f>AW60+AX60</f>
        <v>11677.88</v>
      </c>
      <c r="BD60" s="54">
        <f>H60/(100-BE60)*100</f>
        <v>68.5</v>
      </c>
      <c r="BE60" s="54">
        <v>0</v>
      </c>
      <c r="BF60" s="54">
        <f>O60</f>
        <v>0.07671599999999999</v>
      </c>
      <c r="BH60" s="54">
        <f>G60*AO60</f>
        <v>11677.88</v>
      </c>
      <c r="BI60" s="54">
        <f>G60*AP60</f>
        <v>0</v>
      </c>
      <c r="BJ60" s="54">
        <f>G60*H60</f>
        <v>11677.88</v>
      </c>
      <c r="BK60" s="54"/>
      <c r="BL60" s="54">
        <v>62</v>
      </c>
      <c r="BW60" s="54" t="str">
        <f>I60</f>
        <v>21</v>
      </c>
    </row>
    <row r="61" spans="1:16" ht="15">
      <c r="A61" s="57"/>
      <c r="D61" s="58" t="s">
        <v>43</v>
      </c>
      <c r="E61" s="59" t="s">
        <v>202</v>
      </c>
      <c r="G61" s="60">
        <v>9.680000000000001</v>
      </c>
      <c r="P61" s="61"/>
    </row>
    <row r="62" spans="1:16" ht="15">
      <c r="A62" s="57"/>
      <c r="D62" s="58" t="s">
        <v>14</v>
      </c>
      <c r="E62" s="59" t="s">
        <v>261</v>
      </c>
      <c r="G62" s="60">
        <v>46.800000000000004</v>
      </c>
      <c r="P62" s="61"/>
    </row>
    <row r="63" spans="1:16" ht="15">
      <c r="A63" s="57"/>
      <c r="D63" s="58" t="s">
        <v>105</v>
      </c>
      <c r="E63" s="59" t="s">
        <v>71</v>
      </c>
      <c r="G63" s="60">
        <v>4.800000000000001</v>
      </c>
      <c r="P63" s="61"/>
    </row>
    <row r="64" spans="1:16" ht="15">
      <c r="A64" s="57"/>
      <c r="D64" s="58" t="s">
        <v>64</v>
      </c>
      <c r="E64" s="59" t="s">
        <v>312</v>
      </c>
      <c r="G64" s="60">
        <v>109.2</v>
      </c>
      <c r="P64" s="61"/>
    </row>
    <row r="65" spans="1:47" ht="15">
      <c r="A65" s="51" t="s">
        <v>224</v>
      </c>
      <c r="B65" s="7" t="s">
        <v>224</v>
      </c>
      <c r="C65" s="7" t="s">
        <v>27</v>
      </c>
      <c r="D65" s="133" t="s">
        <v>47</v>
      </c>
      <c r="E65" s="133"/>
      <c r="F65" s="52" t="s">
        <v>310</v>
      </c>
      <c r="G65" s="52" t="s">
        <v>310</v>
      </c>
      <c r="H65" s="52" t="s">
        <v>310</v>
      </c>
      <c r="I65" s="52" t="s">
        <v>310</v>
      </c>
      <c r="J65" s="29">
        <f>SUM(J66:J75)</f>
        <v>4684.446218068336</v>
      </c>
      <c r="K65" s="29">
        <f>SUM(K66:K75)</f>
        <v>19059.765381931666</v>
      </c>
      <c r="L65" s="29">
        <f>SUM(L66:L75)</f>
        <v>23744.211600000002</v>
      </c>
      <c r="M65" s="29">
        <f>SUM(M66:M75)</f>
        <v>28730.496036</v>
      </c>
      <c r="N65" s="37" t="s">
        <v>224</v>
      </c>
      <c r="O65" s="29">
        <f>SUM(O66:O75)</f>
        <v>0.106353</v>
      </c>
      <c r="P65" s="53" t="s">
        <v>224</v>
      </c>
      <c r="AI65" s="37" t="s">
        <v>224</v>
      </c>
      <c r="AS65" s="29">
        <f>SUM(AJ66:AJ75)</f>
        <v>0</v>
      </c>
      <c r="AT65" s="29">
        <f>SUM(AK66:AK75)</f>
        <v>0</v>
      </c>
      <c r="AU65" s="29">
        <f>SUM(AL66:AL75)</f>
        <v>23744.211600000002</v>
      </c>
    </row>
    <row r="66" spans="1:75" ht="15">
      <c r="A66" s="27" t="s">
        <v>285</v>
      </c>
      <c r="B66" s="12" t="s">
        <v>224</v>
      </c>
      <c r="C66" s="12" t="s">
        <v>172</v>
      </c>
      <c r="D66" s="80" t="s">
        <v>351</v>
      </c>
      <c r="E66" s="80"/>
      <c r="F66" s="12" t="s">
        <v>282</v>
      </c>
      <c r="G66" s="54">
        <v>35.1</v>
      </c>
      <c r="H66" s="54">
        <v>60.6</v>
      </c>
      <c r="I66" s="55" t="s">
        <v>230</v>
      </c>
      <c r="J66" s="54">
        <f>G66*AO66</f>
        <v>0</v>
      </c>
      <c r="K66" s="54">
        <f>G66*AP66</f>
        <v>2127.06</v>
      </c>
      <c r="L66" s="54">
        <f>G66*H66</f>
        <v>2127.06</v>
      </c>
      <c r="M66" s="54">
        <f>L66*(1+BW66/100)</f>
        <v>2573.7426</v>
      </c>
      <c r="N66" s="54">
        <v>0.00135</v>
      </c>
      <c r="O66" s="54">
        <f>G66*N66</f>
        <v>0.047385000000000004</v>
      </c>
      <c r="P66" s="56" t="s">
        <v>157</v>
      </c>
      <c r="Z66" s="54">
        <f>IF(AQ66="5",BJ66,0)</f>
        <v>0</v>
      </c>
      <c r="AB66" s="54">
        <f>IF(AQ66="1",BH66,0)</f>
        <v>0</v>
      </c>
      <c r="AC66" s="54">
        <f>IF(AQ66="1",BI66,0)</f>
        <v>0</v>
      </c>
      <c r="AD66" s="54">
        <f>IF(AQ66="7",BH66,0)</f>
        <v>0</v>
      </c>
      <c r="AE66" s="54">
        <f>IF(AQ66="7",BI66,0)</f>
        <v>2127.06</v>
      </c>
      <c r="AF66" s="54">
        <f>IF(AQ66="2",BH66,0)</f>
        <v>0</v>
      </c>
      <c r="AG66" s="54">
        <f>IF(AQ66="2",BI66,0)</f>
        <v>0</v>
      </c>
      <c r="AH66" s="54">
        <f>IF(AQ66="0",BJ66,0)</f>
        <v>0</v>
      </c>
      <c r="AI66" s="37" t="s">
        <v>224</v>
      </c>
      <c r="AJ66" s="54">
        <f>IF(AN66=0,L66,0)</f>
        <v>0</v>
      </c>
      <c r="AK66" s="54">
        <f>IF(AN66=12,L66,0)</f>
        <v>0</v>
      </c>
      <c r="AL66" s="54">
        <f>IF(AN66=21,L66,0)</f>
        <v>2127.06</v>
      </c>
      <c r="AN66" s="54">
        <v>21</v>
      </c>
      <c r="AO66" s="54">
        <f>H66*0</f>
        <v>0</v>
      </c>
      <c r="AP66" s="54">
        <f>H66*(1-0)</f>
        <v>60.6</v>
      </c>
      <c r="AQ66" s="55" t="s">
        <v>340</v>
      </c>
      <c r="AV66" s="54">
        <f>AW66+AX66</f>
        <v>2127.06</v>
      </c>
      <c r="AW66" s="54">
        <f>G66*AO66</f>
        <v>0</v>
      </c>
      <c r="AX66" s="54">
        <f>G66*AP66</f>
        <v>2127.06</v>
      </c>
      <c r="AY66" s="55" t="s">
        <v>273</v>
      </c>
      <c r="AZ66" s="55" t="s">
        <v>277</v>
      </c>
      <c r="BA66" s="37" t="s">
        <v>251</v>
      </c>
      <c r="BC66" s="54">
        <f>AW66+AX66</f>
        <v>2127.06</v>
      </c>
      <c r="BD66" s="54">
        <f>H66/(100-BE66)*100</f>
        <v>60.6</v>
      </c>
      <c r="BE66" s="54">
        <v>0</v>
      </c>
      <c r="BF66" s="54">
        <f>O66</f>
        <v>0.047385000000000004</v>
      </c>
      <c r="BH66" s="54">
        <f>G66*AO66</f>
        <v>0</v>
      </c>
      <c r="BI66" s="54">
        <f>G66*AP66</f>
        <v>2127.06</v>
      </c>
      <c r="BJ66" s="54">
        <f>G66*H66</f>
        <v>2127.06</v>
      </c>
      <c r="BK66" s="54"/>
      <c r="BL66" s="54">
        <v>764</v>
      </c>
      <c r="BW66" s="54" t="str">
        <f>I66</f>
        <v>21</v>
      </c>
    </row>
    <row r="67" spans="1:16" ht="15">
      <c r="A67" s="57"/>
      <c r="D67" s="58" t="s">
        <v>135</v>
      </c>
      <c r="E67" s="59" t="s">
        <v>261</v>
      </c>
      <c r="G67" s="60">
        <v>8.700000000000001</v>
      </c>
      <c r="P67" s="61"/>
    </row>
    <row r="68" spans="1:16" ht="15">
      <c r="A68" s="57"/>
      <c r="D68" s="58" t="s">
        <v>217</v>
      </c>
      <c r="E68" s="59" t="s">
        <v>71</v>
      </c>
      <c r="G68" s="60">
        <v>1.2000000000000002</v>
      </c>
      <c r="P68" s="61"/>
    </row>
    <row r="69" spans="1:16" ht="15">
      <c r="A69" s="57"/>
      <c r="D69" s="58" t="s">
        <v>180</v>
      </c>
      <c r="E69" s="59" t="s">
        <v>312</v>
      </c>
      <c r="G69" s="60">
        <v>25.200000000000003</v>
      </c>
      <c r="P69" s="61"/>
    </row>
    <row r="70" spans="1:75" ht="15">
      <c r="A70" s="27" t="s">
        <v>239</v>
      </c>
      <c r="B70" s="12" t="s">
        <v>224</v>
      </c>
      <c r="C70" s="12" t="s">
        <v>154</v>
      </c>
      <c r="D70" s="80" t="s">
        <v>86</v>
      </c>
      <c r="E70" s="80"/>
      <c r="F70" s="12" t="s">
        <v>282</v>
      </c>
      <c r="G70" s="54">
        <v>35.1</v>
      </c>
      <c r="H70" s="54">
        <v>612.01</v>
      </c>
      <c r="I70" s="55" t="s">
        <v>230</v>
      </c>
      <c r="J70" s="54">
        <f>G70*AO70</f>
        <v>4684.446218068336</v>
      </c>
      <c r="K70" s="54">
        <f>G70*AP70</f>
        <v>16797.104781931663</v>
      </c>
      <c r="L70" s="54">
        <f>G70*H70</f>
        <v>21481.551</v>
      </c>
      <c r="M70" s="54">
        <f>L70*(1+BW70/100)</f>
        <v>25992.67671</v>
      </c>
      <c r="N70" s="54">
        <v>0.00168</v>
      </c>
      <c r="O70" s="54">
        <f>G70*N70</f>
        <v>0.058968000000000007</v>
      </c>
      <c r="P70" s="56" t="s">
        <v>157</v>
      </c>
      <c r="Z70" s="54">
        <f>IF(AQ70="5",BJ70,0)</f>
        <v>0</v>
      </c>
      <c r="AB70" s="54">
        <f>IF(AQ70="1",BH70,0)</f>
        <v>0</v>
      </c>
      <c r="AC70" s="54">
        <f>IF(AQ70="1",BI70,0)</f>
        <v>0</v>
      </c>
      <c r="AD70" s="54">
        <f>IF(AQ70="7",BH70,0)</f>
        <v>4684.446218068336</v>
      </c>
      <c r="AE70" s="54">
        <f>IF(AQ70="7",BI70,0)</f>
        <v>16797.104781931663</v>
      </c>
      <c r="AF70" s="54">
        <f>IF(AQ70="2",BH70,0)</f>
        <v>0</v>
      </c>
      <c r="AG70" s="54">
        <f>IF(AQ70="2",BI70,0)</f>
        <v>0</v>
      </c>
      <c r="AH70" s="54">
        <f>IF(AQ70="0",BJ70,0)</f>
        <v>0</v>
      </c>
      <c r="AI70" s="37" t="s">
        <v>224</v>
      </c>
      <c r="AJ70" s="54">
        <f>IF(AN70=0,L70,0)</f>
        <v>0</v>
      </c>
      <c r="AK70" s="54">
        <f>IF(AN70=12,L70,0)</f>
        <v>0</v>
      </c>
      <c r="AL70" s="54">
        <f>IF(AN70=21,L70,0)</f>
        <v>21481.551</v>
      </c>
      <c r="AN70" s="54">
        <v>21</v>
      </c>
      <c r="AO70" s="54">
        <f>H70*0.218068342368218</f>
        <v>133.4600062127731</v>
      </c>
      <c r="AP70" s="54">
        <f>H70*(1-0.218068342368218)</f>
        <v>478.54999378722687</v>
      </c>
      <c r="AQ70" s="55" t="s">
        <v>340</v>
      </c>
      <c r="AV70" s="54">
        <f>AW70+AX70</f>
        <v>21481.551</v>
      </c>
      <c r="AW70" s="54">
        <f>G70*AO70</f>
        <v>4684.446218068336</v>
      </c>
      <c r="AX70" s="54">
        <f>G70*AP70</f>
        <v>16797.104781931663</v>
      </c>
      <c r="AY70" s="55" t="s">
        <v>273</v>
      </c>
      <c r="AZ70" s="55" t="s">
        <v>277</v>
      </c>
      <c r="BA70" s="37" t="s">
        <v>251</v>
      </c>
      <c r="BC70" s="54">
        <f>AW70+AX70</f>
        <v>21481.551</v>
      </c>
      <c r="BD70" s="54">
        <f>H70/(100-BE70)*100</f>
        <v>612.01</v>
      </c>
      <c r="BE70" s="54">
        <v>0</v>
      </c>
      <c r="BF70" s="54">
        <f>O70</f>
        <v>0.058968000000000007</v>
      </c>
      <c r="BH70" s="54">
        <f>G70*AO70</f>
        <v>4684.446218068336</v>
      </c>
      <c r="BI70" s="54">
        <f>G70*AP70</f>
        <v>16797.104781931663</v>
      </c>
      <c r="BJ70" s="54">
        <f>G70*H70</f>
        <v>21481.551</v>
      </c>
      <c r="BK70" s="54"/>
      <c r="BL70" s="54">
        <v>764</v>
      </c>
      <c r="BW70" s="54" t="str">
        <f>I70</f>
        <v>21</v>
      </c>
    </row>
    <row r="71" spans="1:16" ht="15">
      <c r="A71" s="57"/>
      <c r="D71" s="135" t="s">
        <v>382</v>
      </c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6"/>
    </row>
    <row r="72" spans="1:16" ht="15">
      <c r="A72" s="57"/>
      <c r="D72" s="58" t="s">
        <v>135</v>
      </c>
      <c r="E72" s="59" t="s">
        <v>261</v>
      </c>
      <c r="G72" s="60">
        <v>8.700000000000001</v>
      </c>
      <c r="P72" s="61"/>
    </row>
    <row r="73" spans="1:16" ht="15">
      <c r="A73" s="57"/>
      <c r="D73" s="58" t="s">
        <v>217</v>
      </c>
      <c r="E73" s="59" t="s">
        <v>71</v>
      </c>
      <c r="G73" s="60">
        <v>1.2000000000000002</v>
      </c>
      <c r="P73" s="61"/>
    </row>
    <row r="74" spans="1:16" ht="15">
      <c r="A74" s="57"/>
      <c r="D74" s="58" t="s">
        <v>180</v>
      </c>
      <c r="E74" s="59" t="s">
        <v>312</v>
      </c>
      <c r="G74" s="60">
        <v>25.200000000000003</v>
      </c>
      <c r="P74" s="61"/>
    </row>
    <row r="75" spans="1:75" ht="15">
      <c r="A75" s="27" t="s">
        <v>93</v>
      </c>
      <c r="B75" s="12" t="s">
        <v>224</v>
      </c>
      <c r="C75" s="12" t="s">
        <v>250</v>
      </c>
      <c r="D75" s="80" t="s">
        <v>361</v>
      </c>
      <c r="E75" s="80"/>
      <c r="F75" s="12" t="s">
        <v>161</v>
      </c>
      <c r="G75" s="54">
        <v>0.06</v>
      </c>
      <c r="H75" s="54">
        <v>2260.01</v>
      </c>
      <c r="I75" s="55" t="s">
        <v>230</v>
      </c>
      <c r="J75" s="54">
        <f>G75*AO75</f>
        <v>0</v>
      </c>
      <c r="K75" s="54">
        <f>G75*AP75</f>
        <v>135.60060000000001</v>
      </c>
      <c r="L75" s="54">
        <f>G75*H75</f>
        <v>135.60060000000001</v>
      </c>
      <c r="M75" s="54">
        <f>L75*(1+BW75/100)</f>
        <v>164.076726</v>
      </c>
      <c r="N75" s="54">
        <v>0</v>
      </c>
      <c r="O75" s="54">
        <f>G75*N75</f>
        <v>0</v>
      </c>
      <c r="P75" s="56" t="s">
        <v>157</v>
      </c>
      <c r="Z75" s="54">
        <f>IF(AQ75="5",BJ75,0)</f>
        <v>135.60060000000001</v>
      </c>
      <c r="AB75" s="54">
        <f>IF(AQ75="1",BH75,0)</f>
        <v>0</v>
      </c>
      <c r="AC75" s="54">
        <f>IF(AQ75="1",BI75,0)</f>
        <v>0</v>
      </c>
      <c r="AD75" s="54">
        <f>IF(AQ75="7",BH75,0)</f>
        <v>0</v>
      </c>
      <c r="AE75" s="54">
        <f>IF(AQ75="7",BI75,0)</f>
        <v>0</v>
      </c>
      <c r="AF75" s="54">
        <f>IF(AQ75="2",BH75,0)</f>
        <v>0</v>
      </c>
      <c r="AG75" s="54">
        <f>IF(AQ75="2",BI75,0)</f>
        <v>0</v>
      </c>
      <c r="AH75" s="54">
        <f>IF(AQ75="0",BJ75,0)</f>
        <v>0</v>
      </c>
      <c r="AI75" s="37" t="s">
        <v>224</v>
      </c>
      <c r="AJ75" s="54">
        <f>IF(AN75=0,L75,0)</f>
        <v>0</v>
      </c>
      <c r="AK75" s="54">
        <f>IF(AN75=12,L75,0)</f>
        <v>0</v>
      </c>
      <c r="AL75" s="54">
        <f>IF(AN75=21,L75,0)</f>
        <v>135.60060000000001</v>
      </c>
      <c r="AN75" s="54">
        <v>21</v>
      </c>
      <c r="AO75" s="54">
        <f>H75*0</f>
        <v>0</v>
      </c>
      <c r="AP75" s="54">
        <f>H75*(1-0)</f>
        <v>2260.01</v>
      </c>
      <c r="AQ75" s="55" t="s">
        <v>179</v>
      </c>
      <c r="AV75" s="54">
        <f>AW75+AX75</f>
        <v>135.60060000000001</v>
      </c>
      <c r="AW75" s="54">
        <f>G75*AO75</f>
        <v>0</v>
      </c>
      <c r="AX75" s="54">
        <f>G75*AP75</f>
        <v>135.60060000000001</v>
      </c>
      <c r="AY75" s="55" t="s">
        <v>273</v>
      </c>
      <c r="AZ75" s="55" t="s">
        <v>277</v>
      </c>
      <c r="BA75" s="37" t="s">
        <v>251</v>
      </c>
      <c r="BC75" s="54">
        <f>AW75+AX75</f>
        <v>135.60060000000001</v>
      </c>
      <c r="BD75" s="54">
        <f>H75/(100-BE75)*100</f>
        <v>2260.01</v>
      </c>
      <c r="BE75" s="54">
        <v>0</v>
      </c>
      <c r="BF75" s="54">
        <f>O75</f>
        <v>0</v>
      </c>
      <c r="BH75" s="54">
        <f>G75*AO75</f>
        <v>0</v>
      </c>
      <c r="BI75" s="54">
        <f>G75*AP75</f>
        <v>135.60060000000001</v>
      </c>
      <c r="BJ75" s="54">
        <f>G75*H75</f>
        <v>135.60060000000001</v>
      </c>
      <c r="BK75" s="54"/>
      <c r="BL75" s="54">
        <v>764</v>
      </c>
      <c r="BW75" s="54" t="str">
        <f>I75</f>
        <v>21</v>
      </c>
    </row>
    <row r="76" spans="1:47" ht="15">
      <c r="A76" s="51" t="s">
        <v>224</v>
      </c>
      <c r="B76" s="7" t="s">
        <v>224</v>
      </c>
      <c r="C76" s="7" t="s">
        <v>144</v>
      </c>
      <c r="D76" s="133" t="s">
        <v>165</v>
      </c>
      <c r="E76" s="133"/>
      <c r="F76" s="52" t="s">
        <v>310</v>
      </c>
      <c r="G76" s="52" t="s">
        <v>310</v>
      </c>
      <c r="H76" s="52" t="s">
        <v>310</v>
      </c>
      <c r="I76" s="52" t="s">
        <v>310</v>
      </c>
      <c r="J76" s="29">
        <f>SUM(J77:J122)</f>
        <v>370264.22903900105</v>
      </c>
      <c r="K76" s="29">
        <f>SUM(K77:K122)</f>
        <v>73028.94576099895</v>
      </c>
      <c r="L76" s="29">
        <f>SUM(L77:L122)</f>
        <v>443293.17480000004</v>
      </c>
      <c r="M76" s="29">
        <f>SUM(M77:M122)</f>
        <v>536384.7415079998</v>
      </c>
      <c r="N76" s="37" t="s">
        <v>224</v>
      </c>
      <c r="O76" s="29">
        <f>SUM(O77:O122)</f>
        <v>2.928956</v>
      </c>
      <c r="P76" s="53" t="s">
        <v>224</v>
      </c>
      <c r="AI76" s="37" t="s">
        <v>224</v>
      </c>
      <c r="AS76" s="29">
        <f>SUM(AJ77:AJ122)</f>
        <v>0</v>
      </c>
      <c r="AT76" s="29">
        <f>SUM(AK77:AK122)</f>
        <v>0</v>
      </c>
      <c r="AU76" s="29">
        <f>SUM(AL77:AL122)</f>
        <v>443293.17480000004</v>
      </c>
    </row>
    <row r="77" spans="1:75" ht="15">
      <c r="A77" s="27" t="s">
        <v>192</v>
      </c>
      <c r="B77" s="12" t="s">
        <v>224</v>
      </c>
      <c r="C77" s="12" t="s">
        <v>248</v>
      </c>
      <c r="D77" s="80" t="s">
        <v>280</v>
      </c>
      <c r="E77" s="80"/>
      <c r="F77" s="12" t="s">
        <v>74</v>
      </c>
      <c r="G77" s="54">
        <v>15</v>
      </c>
      <c r="H77" s="54">
        <v>1370.01</v>
      </c>
      <c r="I77" s="55" t="s">
        <v>230</v>
      </c>
      <c r="J77" s="54">
        <f>G77*AO77</f>
        <v>1950.599999999999</v>
      </c>
      <c r="K77" s="54">
        <f>G77*AP77</f>
        <v>18599.55</v>
      </c>
      <c r="L77" s="54">
        <f>G77*H77</f>
        <v>20550.15</v>
      </c>
      <c r="M77" s="54">
        <f>L77*(1+BW77/100)</f>
        <v>24865.681500000002</v>
      </c>
      <c r="N77" s="54">
        <v>0.0009</v>
      </c>
      <c r="O77" s="54">
        <f>G77*N77</f>
        <v>0.0135</v>
      </c>
      <c r="P77" s="56" t="s">
        <v>157</v>
      </c>
      <c r="Z77" s="54">
        <f>IF(AQ77="5",BJ77,0)</f>
        <v>0</v>
      </c>
      <c r="AB77" s="54">
        <f>IF(AQ77="1",BH77,0)</f>
        <v>0</v>
      </c>
      <c r="AC77" s="54">
        <f>IF(AQ77="1",BI77,0)</f>
        <v>0</v>
      </c>
      <c r="AD77" s="54">
        <f>IF(AQ77="7",BH77,0)</f>
        <v>1950.599999999999</v>
      </c>
      <c r="AE77" s="54">
        <f>IF(AQ77="7",BI77,0)</f>
        <v>18599.55</v>
      </c>
      <c r="AF77" s="54">
        <f>IF(AQ77="2",BH77,0)</f>
        <v>0</v>
      </c>
      <c r="AG77" s="54">
        <f>IF(AQ77="2",BI77,0)</f>
        <v>0</v>
      </c>
      <c r="AH77" s="54">
        <f>IF(AQ77="0",BJ77,0)</f>
        <v>0</v>
      </c>
      <c r="AI77" s="37" t="s">
        <v>224</v>
      </c>
      <c r="AJ77" s="54">
        <f>IF(AN77=0,L77,0)</f>
        <v>0</v>
      </c>
      <c r="AK77" s="54">
        <f>IF(AN77=12,L77,0)</f>
        <v>0</v>
      </c>
      <c r="AL77" s="54">
        <f>IF(AN77=21,L77,0)</f>
        <v>20550.15</v>
      </c>
      <c r="AN77" s="54">
        <v>21</v>
      </c>
      <c r="AO77" s="54">
        <f>H77*0.0949190151896701</f>
        <v>130.03999999999994</v>
      </c>
      <c r="AP77" s="54">
        <f>H77*(1-0.0949190151896701)</f>
        <v>1239.97</v>
      </c>
      <c r="AQ77" s="55" t="s">
        <v>340</v>
      </c>
      <c r="AV77" s="54">
        <f>AW77+AX77</f>
        <v>20550.149999999998</v>
      </c>
      <c r="AW77" s="54">
        <f>G77*AO77</f>
        <v>1950.599999999999</v>
      </c>
      <c r="AX77" s="54">
        <f>G77*AP77</f>
        <v>18599.55</v>
      </c>
      <c r="AY77" s="55" t="s">
        <v>38</v>
      </c>
      <c r="AZ77" s="55" t="s">
        <v>277</v>
      </c>
      <c r="BA77" s="37" t="s">
        <v>251</v>
      </c>
      <c r="BC77" s="54">
        <f>AW77+AX77</f>
        <v>20550.149999999998</v>
      </c>
      <c r="BD77" s="54">
        <f>H77/(100-BE77)*100</f>
        <v>1370.01</v>
      </c>
      <c r="BE77" s="54">
        <v>0</v>
      </c>
      <c r="BF77" s="54">
        <f>O77</f>
        <v>0.0135</v>
      </c>
      <c r="BH77" s="54">
        <f>G77*AO77</f>
        <v>1950.599999999999</v>
      </c>
      <c r="BI77" s="54">
        <f>G77*AP77</f>
        <v>18599.55</v>
      </c>
      <c r="BJ77" s="54">
        <f>G77*H77</f>
        <v>20550.15</v>
      </c>
      <c r="BK77" s="54"/>
      <c r="BL77" s="54">
        <v>766</v>
      </c>
      <c r="BW77" s="54" t="str">
        <f>I77</f>
        <v>21</v>
      </c>
    </row>
    <row r="78" spans="1:16" ht="15">
      <c r="A78" s="57"/>
      <c r="D78" s="58" t="s">
        <v>339</v>
      </c>
      <c r="E78" s="59" t="s">
        <v>261</v>
      </c>
      <c r="G78" s="60">
        <v>14.000000000000002</v>
      </c>
      <c r="P78" s="61"/>
    </row>
    <row r="79" spans="1:16" ht="15">
      <c r="A79" s="57"/>
      <c r="D79" s="58" t="s">
        <v>338</v>
      </c>
      <c r="E79" s="59" t="s">
        <v>71</v>
      </c>
      <c r="G79" s="60">
        <v>1</v>
      </c>
      <c r="P79" s="61"/>
    </row>
    <row r="80" spans="1:75" ht="33" customHeight="1">
      <c r="A80" s="62" t="s">
        <v>133</v>
      </c>
      <c r="B80" s="15" t="s">
        <v>224</v>
      </c>
      <c r="C80" s="15" t="s">
        <v>170</v>
      </c>
      <c r="D80" s="137" t="s">
        <v>223</v>
      </c>
      <c r="E80" s="137"/>
      <c r="F80" s="15" t="s">
        <v>74</v>
      </c>
      <c r="G80" s="63">
        <v>11</v>
      </c>
      <c r="H80" s="63">
        <v>5000</v>
      </c>
      <c r="I80" s="64" t="s">
        <v>230</v>
      </c>
      <c r="J80" s="63">
        <f>G80*AO80</f>
        <v>55000</v>
      </c>
      <c r="K80" s="63">
        <f>G80*AP80</f>
        <v>0</v>
      </c>
      <c r="L80" s="63">
        <f>G80*H80</f>
        <v>55000</v>
      </c>
      <c r="M80" s="63">
        <f>L80*(1+BW80/100)</f>
        <v>66550</v>
      </c>
      <c r="N80" s="63">
        <v>0.091</v>
      </c>
      <c r="O80" s="63">
        <f>G80*N80</f>
        <v>1.001</v>
      </c>
      <c r="P80" s="65" t="s">
        <v>268</v>
      </c>
      <c r="Z80" s="54">
        <f>IF(AQ80="5",BJ80,0)</f>
        <v>0</v>
      </c>
      <c r="AB80" s="54">
        <f>IF(AQ80="1",BH80,0)</f>
        <v>0</v>
      </c>
      <c r="AC80" s="54">
        <f>IF(AQ80="1",BI80,0)</f>
        <v>0</v>
      </c>
      <c r="AD80" s="54">
        <f>IF(AQ80="7",BH80,0)</f>
        <v>55000</v>
      </c>
      <c r="AE80" s="54">
        <f>IF(AQ80="7",BI80,0)</f>
        <v>0</v>
      </c>
      <c r="AF80" s="54">
        <f>IF(AQ80="2",BH80,0)</f>
        <v>0</v>
      </c>
      <c r="AG80" s="54">
        <f>IF(AQ80="2",BI80,0)</f>
        <v>0</v>
      </c>
      <c r="AH80" s="54">
        <f>IF(AQ80="0",BJ80,0)</f>
        <v>0</v>
      </c>
      <c r="AI80" s="37" t="s">
        <v>224</v>
      </c>
      <c r="AJ80" s="63">
        <f>IF(AN80=0,L80,0)</f>
        <v>0</v>
      </c>
      <c r="AK80" s="63">
        <f>IF(AN80=12,L80,0)</f>
        <v>0</v>
      </c>
      <c r="AL80" s="63">
        <f>IF(AN80=21,L80,0)</f>
        <v>55000</v>
      </c>
      <c r="AN80" s="54">
        <v>21</v>
      </c>
      <c r="AO80" s="54">
        <f>H80*1</f>
        <v>5000</v>
      </c>
      <c r="AP80" s="54">
        <f>H80*(1-1)</f>
        <v>0</v>
      </c>
      <c r="AQ80" s="64" t="s">
        <v>340</v>
      </c>
      <c r="AV80" s="54">
        <f>AW80+AX80</f>
        <v>55000</v>
      </c>
      <c r="AW80" s="54">
        <f>G80*AO80</f>
        <v>55000</v>
      </c>
      <c r="AX80" s="54">
        <f>G80*AP80</f>
        <v>0</v>
      </c>
      <c r="AY80" s="55" t="s">
        <v>38</v>
      </c>
      <c r="AZ80" s="55" t="s">
        <v>277</v>
      </c>
      <c r="BA80" s="37" t="s">
        <v>251</v>
      </c>
      <c r="BC80" s="54">
        <f>AW80+AX80</f>
        <v>55000</v>
      </c>
      <c r="BD80" s="54">
        <f>H80/(100-BE80)*100</f>
        <v>5000</v>
      </c>
      <c r="BE80" s="54">
        <v>0</v>
      </c>
      <c r="BF80" s="54">
        <f>O80</f>
        <v>1.001</v>
      </c>
      <c r="BH80" s="63">
        <f>G80*AO80</f>
        <v>55000</v>
      </c>
      <c r="BI80" s="63">
        <f>G80*AP80</f>
        <v>0</v>
      </c>
      <c r="BJ80" s="63">
        <f>G80*H80</f>
        <v>55000</v>
      </c>
      <c r="BK80" s="63"/>
      <c r="BL80" s="54">
        <v>766</v>
      </c>
      <c r="BW80" s="54" t="str">
        <f>I80</f>
        <v>21</v>
      </c>
    </row>
    <row r="81" spans="1:16" ht="15">
      <c r="A81" s="57"/>
      <c r="D81" s="58" t="s">
        <v>21</v>
      </c>
      <c r="E81" s="59" t="s">
        <v>224</v>
      </c>
      <c r="G81" s="60">
        <v>0</v>
      </c>
      <c r="P81" s="61"/>
    </row>
    <row r="82" spans="1:16" ht="15">
      <c r="A82" s="57"/>
      <c r="D82" s="58" t="s">
        <v>294</v>
      </c>
      <c r="E82" s="59" t="s">
        <v>224</v>
      </c>
      <c r="G82" s="60">
        <v>0</v>
      </c>
      <c r="P82" s="61"/>
    </row>
    <row r="83" spans="1:16" ht="15">
      <c r="A83" s="57"/>
      <c r="D83" s="58" t="s">
        <v>150</v>
      </c>
      <c r="E83" s="59" t="s">
        <v>170</v>
      </c>
      <c r="G83" s="60">
        <v>11.000000000000002</v>
      </c>
      <c r="P83" s="61"/>
    </row>
    <row r="84" spans="1:75" ht="33" customHeight="1">
      <c r="A84" s="62" t="s">
        <v>31</v>
      </c>
      <c r="B84" s="15" t="s">
        <v>224</v>
      </c>
      <c r="C84" s="15" t="s">
        <v>229</v>
      </c>
      <c r="D84" s="137" t="s">
        <v>13</v>
      </c>
      <c r="E84" s="137"/>
      <c r="F84" s="15" t="s">
        <v>74</v>
      </c>
      <c r="G84" s="63">
        <v>3</v>
      </c>
      <c r="H84" s="63">
        <v>3000</v>
      </c>
      <c r="I84" s="64" t="s">
        <v>230</v>
      </c>
      <c r="J84" s="63">
        <f>G84*AO84</f>
        <v>9000</v>
      </c>
      <c r="K84" s="63">
        <f>G84*AP84</f>
        <v>0</v>
      </c>
      <c r="L84" s="63">
        <f>G84*H84</f>
        <v>9000</v>
      </c>
      <c r="M84" s="63">
        <f>L84*(1+BW84/100)</f>
        <v>10890</v>
      </c>
      <c r="N84" s="63">
        <v>0.091</v>
      </c>
      <c r="O84" s="63">
        <f>G84*N84</f>
        <v>0.273</v>
      </c>
      <c r="P84" s="65" t="s">
        <v>268</v>
      </c>
      <c r="Z84" s="54">
        <f>IF(AQ84="5",BJ84,0)</f>
        <v>0</v>
      </c>
      <c r="AB84" s="54">
        <f>IF(AQ84="1",BH84,0)</f>
        <v>0</v>
      </c>
      <c r="AC84" s="54">
        <f>IF(AQ84="1",BI84,0)</f>
        <v>0</v>
      </c>
      <c r="AD84" s="54">
        <f>IF(AQ84="7",BH84,0)</f>
        <v>9000</v>
      </c>
      <c r="AE84" s="54">
        <f>IF(AQ84="7",BI84,0)</f>
        <v>0</v>
      </c>
      <c r="AF84" s="54">
        <f>IF(AQ84="2",BH84,0)</f>
        <v>0</v>
      </c>
      <c r="AG84" s="54">
        <f>IF(AQ84="2",BI84,0)</f>
        <v>0</v>
      </c>
      <c r="AH84" s="54">
        <f>IF(AQ84="0",BJ84,0)</f>
        <v>0</v>
      </c>
      <c r="AI84" s="37" t="s">
        <v>224</v>
      </c>
      <c r="AJ84" s="63">
        <f>IF(AN84=0,L84,0)</f>
        <v>0</v>
      </c>
      <c r="AK84" s="63">
        <f>IF(AN84=12,L84,0)</f>
        <v>0</v>
      </c>
      <c r="AL84" s="63">
        <f>IF(AN84=21,L84,0)</f>
        <v>9000</v>
      </c>
      <c r="AN84" s="54">
        <v>21</v>
      </c>
      <c r="AO84" s="54">
        <f>H84*1</f>
        <v>3000</v>
      </c>
      <c r="AP84" s="54">
        <f>H84*(1-1)</f>
        <v>0</v>
      </c>
      <c r="AQ84" s="64" t="s">
        <v>340</v>
      </c>
      <c r="AV84" s="54">
        <f>AW84+AX84</f>
        <v>9000</v>
      </c>
      <c r="AW84" s="54">
        <f>G84*AO84</f>
        <v>9000</v>
      </c>
      <c r="AX84" s="54">
        <f>G84*AP84</f>
        <v>0</v>
      </c>
      <c r="AY84" s="55" t="s">
        <v>38</v>
      </c>
      <c r="AZ84" s="55" t="s">
        <v>277</v>
      </c>
      <c r="BA84" s="37" t="s">
        <v>251</v>
      </c>
      <c r="BC84" s="54">
        <f>AW84+AX84</f>
        <v>9000</v>
      </c>
      <c r="BD84" s="54">
        <f>H84/(100-BE84)*100</f>
        <v>3000</v>
      </c>
      <c r="BE84" s="54">
        <v>0</v>
      </c>
      <c r="BF84" s="54">
        <f>O84</f>
        <v>0.273</v>
      </c>
      <c r="BH84" s="63">
        <f>G84*AO84</f>
        <v>9000</v>
      </c>
      <c r="BI84" s="63">
        <f>G84*AP84</f>
        <v>0</v>
      </c>
      <c r="BJ84" s="63">
        <f>G84*H84</f>
        <v>9000</v>
      </c>
      <c r="BK84" s="63"/>
      <c r="BL84" s="54">
        <v>766</v>
      </c>
      <c r="BW84" s="54" t="str">
        <f>I84</f>
        <v>21</v>
      </c>
    </row>
    <row r="85" spans="1:16" ht="15">
      <c r="A85" s="57"/>
      <c r="D85" s="58" t="s">
        <v>21</v>
      </c>
      <c r="E85" s="59" t="s">
        <v>224</v>
      </c>
      <c r="G85" s="60">
        <v>0</v>
      </c>
      <c r="P85" s="61"/>
    </row>
    <row r="86" spans="1:16" ht="15">
      <c r="A86" s="57"/>
      <c r="D86" s="58" t="s">
        <v>294</v>
      </c>
      <c r="E86" s="59" t="s">
        <v>224</v>
      </c>
      <c r="G86" s="60">
        <v>0</v>
      </c>
      <c r="P86" s="61"/>
    </row>
    <row r="87" spans="1:16" ht="15">
      <c r="A87" s="57"/>
      <c r="D87" s="58" t="s">
        <v>45</v>
      </c>
      <c r="E87" s="59" t="s">
        <v>229</v>
      </c>
      <c r="G87" s="60">
        <v>3.0000000000000004</v>
      </c>
      <c r="P87" s="61"/>
    </row>
    <row r="88" spans="1:75" ht="33" customHeight="1">
      <c r="A88" s="62" t="s">
        <v>226</v>
      </c>
      <c r="B88" s="15" t="s">
        <v>224</v>
      </c>
      <c r="C88" s="15" t="s">
        <v>71</v>
      </c>
      <c r="D88" s="137" t="s">
        <v>320</v>
      </c>
      <c r="E88" s="137"/>
      <c r="F88" s="15" t="s">
        <v>74</v>
      </c>
      <c r="G88" s="63">
        <v>1</v>
      </c>
      <c r="H88" s="63">
        <v>7000</v>
      </c>
      <c r="I88" s="64" t="s">
        <v>230</v>
      </c>
      <c r="J88" s="63">
        <f>G88*AO88</f>
        <v>7000</v>
      </c>
      <c r="K88" s="63">
        <f>G88*AP88</f>
        <v>0</v>
      </c>
      <c r="L88" s="63">
        <f>G88*H88</f>
        <v>7000</v>
      </c>
      <c r="M88" s="63">
        <f>L88*(1+BW88/100)</f>
        <v>8470</v>
      </c>
      <c r="N88" s="63">
        <v>0.091</v>
      </c>
      <c r="O88" s="63">
        <f>G88*N88</f>
        <v>0.091</v>
      </c>
      <c r="P88" s="65" t="s">
        <v>268</v>
      </c>
      <c r="Z88" s="54">
        <f>IF(AQ88="5",BJ88,0)</f>
        <v>0</v>
      </c>
      <c r="AB88" s="54">
        <f>IF(AQ88="1",BH88,0)</f>
        <v>0</v>
      </c>
      <c r="AC88" s="54">
        <f>IF(AQ88="1",BI88,0)</f>
        <v>0</v>
      </c>
      <c r="AD88" s="54">
        <f>IF(AQ88="7",BH88,0)</f>
        <v>7000</v>
      </c>
      <c r="AE88" s="54">
        <f>IF(AQ88="7",BI88,0)</f>
        <v>0</v>
      </c>
      <c r="AF88" s="54">
        <f>IF(AQ88="2",BH88,0)</f>
        <v>0</v>
      </c>
      <c r="AG88" s="54">
        <f>IF(AQ88="2",BI88,0)</f>
        <v>0</v>
      </c>
      <c r="AH88" s="54">
        <f>IF(AQ88="0",BJ88,0)</f>
        <v>0</v>
      </c>
      <c r="AI88" s="37" t="s">
        <v>224</v>
      </c>
      <c r="AJ88" s="63">
        <f>IF(AN88=0,L88,0)</f>
        <v>0</v>
      </c>
      <c r="AK88" s="63">
        <f>IF(AN88=12,L88,0)</f>
        <v>0</v>
      </c>
      <c r="AL88" s="63">
        <f>IF(AN88=21,L88,0)</f>
        <v>7000</v>
      </c>
      <c r="AN88" s="54">
        <v>21</v>
      </c>
      <c r="AO88" s="54">
        <f>H88*1</f>
        <v>7000</v>
      </c>
      <c r="AP88" s="54">
        <f>H88*(1-1)</f>
        <v>0</v>
      </c>
      <c r="AQ88" s="64" t="s">
        <v>340</v>
      </c>
      <c r="AV88" s="54">
        <f>AW88+AX88</f>
        <v>7000</v>
      </c>
      <c r="AW88" s="54">
        <f>G88*AO88</f>
        <v>7000</v>
      </c>
      <c r="AX88" s="54">
        <f>G88*AP88</f>
        <v>0</v>
      </c>
      <c r="AY88" s="55" t="s">
        <v>38</v>
      </c>
      <c r="AZ88" s="55" t="s">
        <v>277</v>
      </c>
      <c r="BA88" s="37" t="s">
        <v>251</v>
      </c>
      <c r="BC88" s="54">
        <f>AW88+AX88</f>
        <v>7000</v>
      </c>
      <c r="BD88" s="54">
        <f>H88/(100-BE88)*100</f>
        <v>7000</v>
      </c>
      <c r="BE88" s="54">
        <v>0</v>
      </c>
      <c r="BF88" s="54">
        <f>O88</f>
        <v>0.091</v>
      </c>
      <c r="BH88" s="63">
        <f>G88*AO88</f>
        <v>7000</v>
      </c>
      <c r="BI88" s="63">
        <f>G88*AP88</f>
        <v>0</v>
      </c>
      <c r="BJ88" s="63">
        <f>G88*H88</f>
        <v>7000</v>
      </c>
      <c r="BK88" s="63"/>
      <c r="BL88" s="54">
        <v>766</v>
      </c>
      <c r="BW88" s="54" t="str">
        <f>I88</f>
        <v>21</v>
      </c>
    </row>
    <row r="89" spans="1:16" ht="15">
      <c r="A89" s="57"/>
      <c r="D89" s="58" t="s">
        <v>21</v>
      </c>
      <c r="E89" s="59" t="s">
        <v>224</v>
      </c>
      <c r="G89" s="60">
        <v>0</v>
      </c>
      <c r="P89" s="61"/>
    </row>
    <row r="90" spans="1:16" ht="15">
      <c r="A90" s="57"/>
      <c r="D90" s="58" t="s">
        <v>294</v>
      </c>
      <c r="E90" s="59" t="s">
        <v>224</v>
      </c>
      <c r="G90" s="60">
        <v>0</v>
      </c>
      <c r="P90" s="61"/>
    </row>
    <row r="91" spans="1:16" ht="15">
      <c r="A91" s="57"/>
      <c r="D91" s="58" t="s">
        <v>338</v>
      </c>
      <c r="E91" s="59" t="s">
        <v>71</v>
      </c>
      <c r="G91" s="60">
        <v>1</v>
      </c>
      <c r="P91" s="61"/>
    </row>
    <row r="92" spans="1:75" ht="15">
      <c r="A92" s="27" t="s">
        <v>269</v>
      </c>
      <c r="B92" s="12" t="s">
        <v>224</v>
      </c>
      <c r="C92" s="12" t="s">
        <v>225</v>
      </c>
      <c r="D92" s="80" t="s">
        <v>327</v>
      </c>
      <c r="E92" s="80"/>
      <c r="F92" s="12" t="s">
        <v>74</v>
      </c>
      <c r="G92" s="54">
        <v>14</v>
      </c>
      <c r="H92" s="54">
        <v>1896</v>
      </c>
      <c r="I92" s="55" t="s">
        <v>230</v>
      </c>
      <c r="J92" s="54">
        <f>G92*AO92</f>
        <v>3459.960000000006</v>
      </c>
      <c r="K92" s="54">
        <f>G92*AP92</f>
        <v>23084.039999999994</v>
      </c>
      <c r="L92" s="54">
        <f>G92*H92</f>
        <v>26544</v>
      </c>
      <c r="M92" s="54">
        <f>L92*(1+BW92/100)</f>
        <v>32118.239999999998</v>
      </c>
      <c r="N92" s="54">
        <v>0.00165</v>
      </c>
      <c r="O92" s="54">
        <f>G92*N92</f>
        <v>0.0231</v>
      </c>
      <c r="P92" s="56" t="s">
        <v>157</v>
      </c>
      <c r="Z92" s="54">
        <f>IF(AQ92="5",BJ92,0)</f>
        <v>0</v>
      </c>
      <c r="AB92" s="54">
        <f>IF(AQ92="1",BH92,0)</f>
        <v>0</v>
      </c>
      <c r="AC92" s="54">
        <f>IF(AQ92="1",BI92,0)</f>
        <v>0</v>
      </c>
      <c r="AD92" s="54">
        <f>IF(AQ92="7",BH92,0)</f>
        <v>3459.960000000006</v>
      </c>
      <c r="AE92" s="54">
        <f>IF(AQ92="7",BI92,0)</f>
        <v>23084.039999999994</v>
      </c>
      <c r="AF92" s="54">
        <f>IF(AQ92="2",BH92,0)</f>
        <v>0</v>
      </c>
      <c r="AG92" s="54">
        <f>IF(AQ92="2",BI92,0)</f>
        <v>0</v>
      </c>
      <c r="AH92" s="54">
        <f>IF(AQ92="0",BJ92,0)</f>
        <v>0</v>
      </c>
      <c r="AI92" s="37" t="s">
        <v>224</v>
      </c>
      <c r="AJ92" s="54">
        <f>IF(AN92=0,L92,0)</f>
        <v>0</v>
      </c>
      <c r="AK92" s="54">
        <f>IF(AN92=12,L92,0)</f>
        <v>0</v>
      </c>
      <c r="AL92" s="54">
        <f>IF(AN92=21,L92,0)</f>
        <v>26544</v>
      </c>
      <c r="AN92" s="54">
        <v>21</v>
      </c>
      <c r="AO92" s="54">
        <f>H92*0.130348101265823</f>
        <v>247.1400000000004</v>
      </c>
      <c r="AP92" s="54">
        <f>H92*(1-0.130348101265823)</f>
        <v>1648.8599999999997</v>
      </c>
      <c r="AQ92" s="55" t="s">
        <v>340</v>
      </c>
      <c r="AV92" s="54">
        <f>AW92+AX92</f>
        <v>26544</v>
      </c>
      <c r="AW92" s="54">
        <f>G92*AO92</f>
        <v>3459.960000000006</v>
      </c>
      <c r="AX92" s="54">
        <f>G92*AP92</f>
        <v>23084.039999999994</v>
      </c>
      <c r="AY92" s="55" t="s">
        <v>38</v>
      </c>
      <c r="AZ92" s="55" t="s">
        <v>277</v>
      </c>
      <c r="BA92" s="37" t="s">
        <v>251</v>
      </c>
      <c r="BC92" s="54">
        <f>AW92+AX92</f>
        <v>26544</v>
      </c>
      <c r="BD92" s="54">
        <f>H92/(100-BE92)*100</f>
        <v>1896</v>
      </c>
      <c r="BE92" s="54">
        <v>0</v>
      </c>
      <c r="BF92" s="54">
        <f>O92</f>
        <v>0.0231</v>
      </c>
      <c r="BH92" s="54">
        <f>G92*AO92</f>
        <v>3459.960000000006</v>
      </c>
      <c r="BI92" s="54">
        <f>G92*AP92</f>
        <v>23084.039999999994</v>
      </c>
      <c r="BJ92" s="54">
        <f>G92*H92</f>
        <v>26544</v>
      </c>
      <c r="BK92" s="54"/>
      <c r="BL92" s="54">
        <v>766</v>
      </c>
      <c r="BW92" s="54" t="str">
        <f>I92</f>
        <v>21</v>
      </c>
    </row>
    <row r="93" spans="1:16" ht="15">
      <c r="A93" s="57"/>
      <c r="D93" s="58" t="s">
        <v>122</v>
      </c>
      <c r="E93" s="59" t="s">
        <v>312</v>
      </c>
      <c r="G93" s="60">
        <v>14.000000000000002</v>
      </c>
      <c r="P93" s="61"/>
    </row>
    <row r="94" spans="1:75" ht="36" customHeight="1">
      <c r="A94" s="62" t="s">
        <v>204</v>
      </c>
      <c r="B94" s="15" t="s">
        <v>224</v>
      </c>
      <c r="C94" s="15" t="s">
        <v>312</v>
      </c>
      <c r="D94" s="137" t="s">
        <v>232</v>
      </c>
      <c r="E94" s="137"/>
      <c r="F94" s="15" t="s">
        <v>74</v>
      </c>
      <c r="G94" s="63">
        <v>14</v>
      </c>
      <c r="H94" s="63">
        <v>15000</v>
      </c>
      <c r="I94" s="64" t="s">
        <v>230</v>
      </c>
      <c r="J94" s="63">
        <f>G94*AO94</f>
        <v>210000</v>
      </c>
      <c r="K94" s="63">
        <f>G94*AP94</f>
        <v>0</v>
      </c>
      <c r="L94" s="63">
        <f>G94*H94</f>
        <v>210000</v>
      </c>
      <c r="M94" s="63">
        <f>L94*(1+BW94/100)</f>
        <v>254100</v>
      </c>
      <c r="N94" s="63">
        <v>0.091</v>
      </c>
      <c r="O94" s="63">
        <f>G94*N94</f>
        <v>1.274</v>
      </c>
      <c r="P94" s="65" t="s">
        <v>268</v>
      </c>
      <c r="Z94" s="54">
        <f>IF(AQ94="5",BJ94,0)</f>
        <v>0</v>
      </c>
      <c r="AB94" s="54">
        <f>IF(AQ94="1",BH94,0)</f>
        <v>0</v>
      </c>
      <c r="AC94" s="54">
        <f>IF(AQ94="1",BI94,0)</f>
        <v>0</v>
      </c>
      <c r="AD94" s="54">
        <f>IF(AQ94="7",BH94,0)</f>
        <v>210000</v>
      </c>
      <c r="AE94" s="54">
        <f>IF(AQ94="7",BI94,0)</f>
        <v>0</v>
      </c>
      <c r="AF94" s="54">
        <f>IF(AQ94="2",BH94,0)</f>
        <v>0</v>
      </c>
      <c r="AG94" s="54">
        <f>IF(AQ94="2",BI94,0)</f>
        <v>0</v>
      </c>
      <c r="AH94" s="54">
        <f>IF(AQ94="0",BJ94,0)</f>
        <v>0</v>
      </c>
      <c r="AI94" s="37" t="s">
        <v>224</v>
      </c>
      <c r="AJ94" s="63">
        <f>IF(AN94=0,L94,0)</f>
        <v>0</v>
      </c>
      <c r="AK94" s="63">
        <f>IF(AN94=12,L94,0)</f>
        <v>0</v>
      </c>
      <c r="AL94" s="63">
        <f>IF(AN94=21,L94,0)</f>
        <v>210000</v>
      </c>
      <c r="AN94" s="54">
        <v>21</v>
      </c>
      <c r="AO94" s="54">
        <f>H94*1</f>
        <v>15000</v>
      </c>
      <c r="AP94" s="54">
        <f>H94*(1-1)</f>
        <v>0</v>
      </c>
      <c r="AQ94" s="64" t="s">
        <v>340</v>
      </c>
      <c r="AV94" s="54">
        <f>AW94+AX94</f>
        <v>210000</v>
      </c>
      <c r="AW94" s="54">
        <f>G94*AO94</f>
        <v>210000</v>
      </c>
      <c r="AX94" s="54">
        <f>G94*AP94</f>
        <v>0</v>
      </c>
      <c r="AY94" s="55" t="s">
        <v>38</v>
      </c>
      <c r="AZ94" s="55" t="s">
        <v>277</v>
      </c>
      <c r="BA94" s="37" t="s">
        <v>251</v>
      </c>
      <c r="BC94" s="54">
        <f>AW94+AX94</f>
        <v>210000</v>
      </c>
      <c r="BD94" s="54">
        <f>H94/(100-BE94)*100</f>
        <v>15000</v>
      </c>
      <c r="BE94" s="54">
        <v>0</v>
      </c>
      <c r="BF94" s="54">
        <f>O94</f>
        <v>1.274</v>
      </c>
      <c r="BH94" s="63">
        <f>G94*AO94</f>
        <v>210000</v>
      </c>
      <c r="BI94" s="63">
        <f>G94*AP94</f>
        <v>0</v>
      </c>
      <c r="BJ94" s="63">
        <f>G94*H94</f>
        <v>210000</v>
      </c>
      <c r="BK94" s="63"/>
      <c r="BL94" s="54">
        <v>766</v>
      </c>
      <c r="BW94" s="54" t="str">
        <f>I94</f>
        <v>21</v>
      </c>
    </row>
    <row r="95" spans="1:16" ht="15">
      <c r="A95" s="57"/>
      <c r="D95" s="58" t="s">
        <v>21</v>
      </c>
      <c r="E95" s="59" t="s">
        <v>224</v>
      </c>
      <c r="G95" s="60">
        <v>0</v>
      </c>
      <c r="P95" s="61"/>
    </row>
    <row r="96" spans="1:16" ht="15">
      <c r="A96" s="57"/>
      <c r="D96" s="58" t="s">
        <v>294</v>
      </c>
      <c r="E96" s="59" t="s">
        <v>224</v>
      </c>
      <c r="G96" s="60">
        <v>0</v>
      </c>
      <c r="P96" s="61"/>
    </row>
    <row r="97" spans="1:16" ht="15">
      <c r="A97" s="57"/>
      <c r="D97" s="58" t="s">
        <v>122</v>
      </c>
      <c r="E97" s="59" t="s">
        <v>312</v>
      </c>
      <c r="G97" s="60">
        <v>14.000000000000002</v>
      </c>
      <c r="P97" s="61"/>
    </row>
    <row r="98" spans="1:75" ht="15">
      <c r="A98" s="27" t="s">
        <v>11</v>
      </c>
      <c r="B98" s="12" t="s">
        <v>224</v>
      </c>
      <c r="C98" s="12" t="s">
        <v>240</v>
      </c>
      <c r="D98" s="80" t="s">
        <v>18</v>
      </c>
      <c r="E98" s="80"/>
      <c r="F98" s="12" t="s">
        <v>282</v>
      </c>
      <c r="G98" s="54">
        <v>11.24</v>
      </c>
      <c r="H98" s="54">
        <v>449.5</v>
      </c>
      <c r="I98" s="55" t="s">
        <v>230</v>
      </c>
      <c r="J98" s="54">
        <f>G98*AO98</f>
        <v>255.48520000000022</v>
      </c>
      <c r="K98" s="54">
        <f>G98*AP98</f>
        <v>4796.8948</v>
      </c>
      <c r="L98" s="54">
        <f>G98*H98</f>
        <v>5052.38</v>
      </c>
      <c r="M98" s="54">
        <f>L98*(1+BW98/100)</f>
        <v>6113.3798</v>
      </c>
      <c r="N98" s="54">
        <v>2E-05</v>
      </c>
      <c r="O98" s="54">
        <f>G98*N98</f>
        <v>0.00022480000000000002</v>
      </c>
      <c r="P98" s="56" t="s">
        <v>157</v>
      </c>
      <c r="Z98" s="54">
        <f>IF(AQ98="5",BJ98,0)</f>
        <v>0</v>
      </c>
      <c r="AB98" s="54">
        <f>IF(AQ98="1",BH98,0)</f>
        <v>0</v>
      </c>
      <c r="AC98" s="54">
        <f>IF(AQ98="1",BI98,0)</f>
        <v>0</v>
      </c>
      <c r="AD98" s="54">
        <f>IF(AQ98="7",BH98,0)</f>
        <v>255.48520000000022</v>
      </c>
      <c r="AE98" s="54">
        <f>IF(AQ98="7",BI98,0)</f>
        <v>4796.8948</v>
      </c>
      <c r="AF98" s="54">
        <f>IF(AQ98="2",BH98,0)</f>
        <v>0</v>
      </c>
      <c r="AG98" s="54">
        <f>IF(AQ98="2",BI98,0)</f>
        <v>0</v>
      </c>
      <c r="AH98" s="54">
        <f>IF(AQ98="0",BJ98,0)</f>
        <v>0</v>
      </c>
      <c r="AI98" s="37" t="s">
        <v>224</v>
      </c>
      <c r="AJ98" s="54">
        <f>IF(AN98=0,L98,0)</f>
        <v>0</v>
      </c>
      <c r="AK98" s="54">
        <f>IF(AN98=12,L98,0)</f>
        <v>0</v>
      </c>
      <c r="AL98" s="54">
        <f>IF(AN98=21,L98,0)</f>
        <v>5052.38</v>
      </c>
      <c r="AN98" s="54">
        <v>21</v>
      </c>
      <c r="AO98" s="54">
        <f>H98*0.050567296996663</f>
        <v>22.730000000000018</v>
      </c>
      <c r="AP98" s="54">
        <f>H98*(1-0.050567296996663)</f>
        <v>426.77</v>
      </c>
      <c r="AQ98" s="55" t="s">
        <v>340</v>
      </c>
      <c r="AV98" s="54">
        <f>AW98+AX98</f>
        <v>5052.38</v>
      </c>
      <c r="AW98" s="54">
        <f>G98*AO98</f>
        <v>255.48520000000022</v>
      </c>
      <c r="AX98" s="54">
        <f>G98*AP98</f>
        <v>4796.8948</v>
      </c>
      <c r="AY98" s="55" t="s">
        <v>38</v>
      </c>
      <c r="AZ98" s="55" t="s">
        <v>277</v>
      </c>
      <c r="BA98" s="37" t="s">
        <v>251</v>
      </c>
      <c r="BC98" s="54">
        <f>AW98+AX98</f>
        <v>5052.38</v>
      </c>
      <c r="BD98" s="54">
        <f>H98/(100-BE98)*100</f>
        <v>449.5</v>
      </c>
      <c r="BE98" s="54">
        <v>0</v>
      </c>
      <c r="BF98" s="54">
        <f>O98</f>
        <v>0.00022480000000000002</v>
      </c>
      <c r="BH98" s="54">
        <f>G98*AO98</f>
        <v>255.48520000000022</v>
      </c>
      <c r="BI98" s="54">
        <f>G98*AP98</f>
        <v>4796.8948</v>
      </c>
      <c r="BJ98" s="54">
        <f>G98*H98</f>
        <v>5052.38</v>
      </c>
      <c r="BK98" s="54"/>
      <c r="BL98" s="54">
        <v>766</v>
      </c>
      <c r="BW98" s="54" t="str">
        <f>I98</f>
        <v>21</v>
      </c>
    </row>
    <row r="99" spans="1:16" ht="15">
      <c r="A99" s="57"/>
      <c r="D99" s="58" t="s">
        <v>209</v>
      </c>
      <c r="E99" s="59" t="s">
        <v>202</v>
      </c>
      <c r="G99" s="60">
        <v>11.24</v>
      </c>
      <c r="P99" s="61"/>
    </row>
    <row r="100" spans="1:75" ht="33" customHeight="1">
      <c r="A100" s="62" t="s">
        <v>230</v>
      </c>
      <c r="B100" s="15" t="s">
        <v>224</v>
      </c>
      <c r="C100" s="15" t="s">
        <v>202</v>
      </c>
      <c r="D100" s="137" t="s">
        <v>189</v>
      </c>
      <c r="E100" s="137"/>
      <c r="F100" s="15" t="s">
        <v>74</v>
      </c>
      <c r="G100" s="63">
        <v>2</v>
      </c>
      <c r="H100" s="63">
        <v>28000</v>
      </c>
      <c r="I100" s="64" t="s">
        <v>230</v>
      </c>
      <c r="J100" s="63">
        <f>G100*AO100</f>
        <v>56000</v>
      </c>
      <c r="K100" s="63">
        <f>G100*AP100</f>
        <v>0</v>
      </c>
      <c r="L100" s="63">
        <f>G100*H100</f>
        <v>56000</v>
      </c>
      <c r="M100" s="63">
        <f>L100*(1+BW100/100)</f>
        <v>67760</v>
      </c>
      <c r="N100" s="63">
        <v>0.091</v>
      </c>
      <c r="O100" s="63">
        <f>G100*N100</f>
        <v>0.182</v>
      </c>
      <c r="P100" s="65" t="s">
        <v>268</v>
      </c>
      <c r="Z100" s="54">
        <f>IF(AQ100="5",BJ100,0)</f>
        <v>0</v>
      </c>
      <c r="AB100" s="54">
        <f>IF(AQ100="1",BH100,0)</f>
        <v>0</v>
      </c>
      <c r="AC100" s="54">
        <f>IF(AQ100="1",BI100,0)</f>
        <v>0</v>
      </c>
      <c r="AD100" s="54">
        <f>IF(AQ100="7",BH100,0)</f>
        <v>56000</v>
      </c>
      <c r="AE100" s="54">
        <f>IF(AQ100="7",BI100,0)</f>
        <v>0</v>
      </c>
      <c r="AF100" s="54">
        <f>IF(AQ100="2",BH100,0)</f>
        <v>0</v>
      </c>
      <c r="AG100" s="54">
        <f>IF(AQ100="2",BI100,0)</f>
        <v>0</v>
      </c>
      <c r="AH100" s="54">
        <f>IF(AQ100="0",BJ100,0)</f>
        <v>0</v>
      </c>
      <c r="AI100" s="37" t="s">
        <v>224</v>
      </c>
      <c r="AJ100" s="63">
        <f>IF(AN100=0,L100,0)</f>
        <v>0</v>
      </c>
      <c r="AK100" s="63">
        <f>IF(AN100=12,L100,0)</f>
        <v>0</v>
      </c>
      <c r="AL100" s="63">
        <f>IF(AN100=21,L100,0)</f>
        <v>56000</v>
      </c>
      <c r="AN100" s="54">
        <v>21</v>
      </c>
      <c r="AO100" s="54">
        <f>H100*1</f>
        <v>28000</v>
      </c>
      <c r="AP100" s="54">
        <f>H100*(1-1)</f>
        <v>0</v>
      </c>
      <c r="AQ100" s="64" t="s">
        <v>340</v>
      </c>
      <c r="AV100" s="54">
        <f>AW100+AX100</f>
        <v>56000</v>
      </c>
      <c r="AW100" s="54">
        <f>G100*AO100</f>
        <v>56000</v>
      </c>
      <c r="AX100" s="54">
        <f>G100*AP100</f>
        <v>0</v>
      </c>
      <c r="AY100" s="55" t="s">
        <v>38</v>
      </c>
      <c r="AZ100" s="55" t="s">
        <v>277</v>
      </c>
      <c r="BA100" s="37" t="s">
        <v>251</v>
      </c>
      <c r="BC100" s="54">
        <f>AW100+AX100</f>
        <v>56000</v>
      </c>
      <c r="BD100" s="54">
        <f>H100/(100-BE100)*100</f>
        <v>28000</v>
      </c>
      <c r="BE100" s="54">
        <v>0</v>
      </c>
      <c r="BF100" s="54">
        <f>O100</f>
        <v>0.182</v>
      </c>
      <c r="BH100" s="63">
        <f>G100*AO100</f>
        <v>56000</v>
      </c>
      <c r="BI100" s="63">
        <f>G100*AP100</f>
        <v>0</v>
      </c>
      <c r="BJ100" s="63">
        <f>G100*H100</f>
        <v>56000</v>
      </c>
      <c r="BK100" s="63"/>
      <c r="BL100" s="54">
        <v>766</v>
      </c>
      <c r="BW100" s="54" t="str">
        <f>I100</f>
        <v>21</v>
      </c>
    </row>
    <row r="101" spans="1:16" ht="15">
      <c r="A101" s="57"/>
      <c r="D101" s="58" t="s">
        <v>9</v>
      </c>
      <c r="E101" s="59" t="s">
        <v>224</v>
      </c>
      <c r="G101" s="60">
        <v>0</v>
      </c>
      <c r="P101" s="61"/>
    </row>
    <row r="102" spans="1:16" ht="25.5">
      <c r="A102" s="57"/>
      <c r="D102" s="58" t="s">
        <v>356</v>
      </c>
      <c r="E102" s="59" t="s">
        <v>224</v>
      </c>
      <c r="G102" s="60">
        <v>0</v>
      </c>
      <c r="P102" s="61"/>
    </row>
    <row r="103" spans="1:16" ht="15">
      <c r="A103" s="57"/>
      <c r="D103" s="58" t="s">
        <v>221</v>
      </c>
      <c r="E103" s="59" t="s">
        <v>202</v>
      </c>
      <c r="G103" s="60">
        <v>2</v>
      </c>
      <c r="P103" s="61"/>
    </row>
    <row r="104" spans="1:75" ht="15">
      <c r="A104" s="27" t="s">
        <v>322</v>
      </c>
      <c r="B104" s="12" t="s">
        <v>224</v>
      </c>
      <c r="C104" s="12" t="s">
        <v>134</v>
      </c>
      <c r="D104" s="80" t="s">
        <v>323</v>
      </c>
      <c r="E104" s="80"/>
      <c r="F104" s="12" t="s">
        <v>74</v>
      </c>
      <c r="G104" s="54">
        <v>14</v>
      </c>
      <c r="H104" s="54">
        <v>210.49</v>
      </c>
      <c r="I104" s="55" t="s">
        <v>230</v>
      </c>
      <c r="J104" s="54">
        <f>G104*AO104</f>
        <v>73.77999999999989</v>
      </c>
      <c r="K104" s="54">
        <f>G104*AP104</f>
        <v>2873.0800000000004</v>
      </c>
      <c r="L104" s="54">
        <f>G104*H104</f>
        <v>2946.86</v>
      </c>
      <c r="M104" s="54">
        <f>L104*(1+BW104/100)</f>
        <v>3565.7006</v>
      </c>
      <c r="N104" s="54">
        <v>1E-05</v>
      </c>
      <c r="O104" s="54">
        <f>G104*N104</f>
        <v>0.00014000000000000001</v>
      </c>
      <c r="P104" s="56" t="s">
        <v>157</v>
      </c>
      <c r="Z104" s="54">
        <f>IF(AQ104="5",BJ104,0)</f>
        <v>0</v>
      </c>
      <c r="AB104" s="54">
        <f>IF(AQ104="1",BH104,0)</f>
        <v>0</v>
      </c>
      <c r="AC104" s="54">
        <f>IF(AQ104="1",BI104,0)</f>
        <v>0</v>
      </c>
      <c r="AD104" s="54">
        <f>IF(AQ104="7",BH104,0)</f>
        <v>73.77999999999989</v>
      </c>
      <c r="AE104" s="54">
        <f>IF(AQ104="7",BI104,0)</f>
        <v>2873.0800000000004</v>
      </c>
      <c r="AF104" s="54">
        <f>IF(AQ104="2",BH104,0)</f>
        <v>0</v>
      </c>
      <c r="AG104" s="54">
        <f>IF(AQ104="2",BI104,0)</f>
        <v>0</v>
      </c>
      <c r="AH104" s="54">
        <f>IF(AQ104="0",BJ104,0)</f>
        <v>0</v>
      </c>
      <c r="AI104" s="37" t="s">
        <v>224</v>
      </c>
      <c r="AJ104" s="54">
        <f>IF(AN104=0,L104,0)</f>
        <v>0</v>
      </c>
      <c r="AK104" s="54">
        <f>IF(AN104=12,L104,0)</f>
        <v>0</v>
      </c>
      <c r="AL104" s="54">
        <f>IF(AN104=21,L104,0)</f>
        <v>2946.86</v>
      </c>
      <c r="AN104" s="54">
        <v>21</v>
      </c>
      <c r="AO104" s="54">
        <f>H104*0.0250368188512518</f>
        <v>5.269999999999992</v>
      </c>
      <c r="AP104" s="54">
        <f>H104*(1-0.0250368188512518)</f>
        <v>205.22000000000003</v>
      </c>
      <c r="AQ104" s="55" t="s">
        <v>340</v>
      </c>
      <c r="AV104" s="54">
        <f>AW104+AX104</f>
        <v>2946.86</v>
      </c>
      <c r="AW104" s="54">
        <f>G104*AO104</f>
        <v>73.77999999999989</v>
      </c>
      <c r="AX104" s="54">
        <f>G104*AP104</f>
        <v>2873.0800000000004</v>
      </c>
      <c r="AY104" s="55" t="s">
        <v>38</v>
      </c>
      <c r="AZ104" s="55" t="s">
        <v>277</v>
      </c>
      <c r="BA104" s="37" t="s">
        <v>251</v>
      </c>
      <c r="BC104" s="54">
        <f>AW104+AX104</f>
        <v>2946.86</v>
      </c>
      <c r="BD104" s="54">
        <f>H104/(100-BE104)*100</f>
        <v>210.49</v>
      </c>
      <c r="BE104" s="54">
        <v>0</v>
      </c>
      <c r="BF104" s="54">
        <f>O104</f>
        <v>0.00014000000000000001</v>
      </c>
      <c r="BH104" s="54">
        <f>G104*AO104</f>
        <v>73.77999999999989</v>
      </c>
      <c r="BI104" s="54">
        <f>G104*AP104</f>
        <v>2873.0800000000004</v>
      </c>
      <c r="BJ104" s="54">
        <f>G104*H104</f>
        <v>2946.86</v>
      </c>
      <c r="BK104" s="54"/>
      <c r="BL104" s="54">
        <v>766</v>
      </c>
      <c r="BW104" s="54" t="str">
        <f>I104</f>
        <v>21</v>
      </c>
    </row>
    <row r="105" spans="1:16" ht="15">
      <c r="A105" s="57"/>
      <c r="D105" s="58" t="s">
        <v>339</v>
      </c>
      <c r="E105" s="59" t="s">
        <v>261</v>
      </c>
      <c r="G105" s="60">
        <v>14.000000000000002</v>
      </c>
      <c r="P105" s="61"/>
    </row>
    <row r="106" spans="1:75" ht="15">
      <c r="A106" s="62" t="s">
        <v>156</v>
      </c>
      <c r="B106" s="15" t="s">
        <v>224</v>
      </c>
      <c r="C106" s="15" t="s">
        <v>293</v>
      </c>
      <c r="D106" s="137" t="s">
        <v>381</v>
      </c>
      <c r="E106" s="137"/>
      <c r="F106" s="15" t="s">
        <v>282</v>
      </c>
      <c r="G106" s="63">
        <v>8.7</v>
      </c>
      <c r="H106" s="63">
        <v>402.5</v>
      </c>
      <c r="I106" s="64" t="s">
        <v>230</v>
      </c>
      <c r="J106" s="63">
        <f>G106*AO106</f>
        <v>3501.7499999999995</v>
      </c>
      <c r="K106" s="63">
        <f>G106*AP106</f>
        <v>0</v>
      </c>
      <c r="L106" s="63">
        <f>G106*H106</f>
        <v>3501.7499999999995</v>
      </c>
      <c r="M106" s="63">
        <f>L106*(1+BW106/100)</f>
        <v>4237.117499999999</v>
      </c>
      <c r="N106" s="63">
        <v>0.00182</v>
      </c>
      <c r="O106" s="63">
        <f>G106*N106</f>
        <v>0.015833999999999997</v>
      </c>
      <c r="P106" s="65" t="s">
        <v>157</v>
      </c>
      <c r="Z106" s="54">
        <f>IF(AQ106="5",BJ106,0)</f>
        <v>0</v>
      </c>
      <c r="AB106" s="54">
        <f>IF(AQ106="1",BH106,0)</f>
        <v>0</v>
      </c>
      <c r="AC106" s="54">
        <f>IF(AQ106="1",BI106,0)</f>
        <v>0</v>
      </c>
      <c r="AD106" s="54">
        <f>IF(AQ106="7",BH106,0)</f>
        <v>3501.7499999999995</v>
      </c>
      <c r="AE106" s="54">
        <f>IF(AQ106="7",BI106,0)</f>
        <v>0</v>
      </c>
      <c r="AF106" s="54">
        <f>IF(AQ106="2",BH106,0)</f>
        <v>0</v>
      </c>
      <c r="AG106" s="54">
        <f>IF(AQ106="2",BI106,0)</f>
        <v>0</v>
      </c>
      <c r="AH106" s="54">
        <f>IF(AQ106="0",BJ106,0)</f>
        <v>0</v>
      </c>
      <c r="AI106" s="37" t="s">
        <v>224</v>
      </c>
      <c r="AJ106" s="63">
        <f>IF(AN106=0,L106,0)</f>
        <v>0</v>
      </c>
      <c r="AK106" s="63">
        <f>IF(AN106=12,L106,0)</f>
        <v>0</v>
      </c>
      <c r="AL106" s="63">
        <f>IF(AN106=21,L106,0)</f>
        <v>3501.7499999999995</v>
      </c>
      <c r="AN106" s="54">
        <v>21</v>
      </c>
      <c r="AO106" s="54">
        <f>H106*1</f>
        <v>402.5</v>
      </c>
      <c r="AP106" s="54">
        <f>H106*(1-1)</f>
        <v>0</v>
      </c>
      <c r="AQ106" s="64" t="s">
        <v>340</v>
      </c>
      <c r="AV106" s="54">
        <f>AW106+AX106</f>
        <v>3501.7499999999995</v>
      </c>
      <c r="AW106" s="54">
        <f>G106*AO106</f>
        <v>3501.7499999999995</v>
      </c>
      <c r="AX106" s="54">
        <f>G106*AP106</f>
        <v>0</v>
      </c>
      <c r="AY106" s="55" t="s">
        <v>38</v>
      </c>
      <c r="AZ106" s="55" t="s">
        <v>277</v>
      </c>
      <c r="BA106" s="37" t="s">
        <v>251</v>
      </c>
      <c r="BC106" s="54">
        <f>AW106+AX106</f>
        <v>3501.7499999999995</v>
      </c>
      <c r="BD106" s="54">
        <f>H106/(100-BE106)*100</f>
        <v>402.50000000000006</v>
      </c>
      <c r="BE106" s="54">
        <v>0</v>
      </c>
      <c r="BF106" s="54">
        <f>O106</f>
        <v>0.015833999999999997</v>
      </c>
      <c r="BH106" s="63">
        <f>G106*AO106</f>
        <v>3501.7499999999995</v>
      </c>
      <c r="BI106" s="63">
        <f>G106*AP106</f>
        <v>0</v>
      </c>
      <c r="BJ106" s="63">
        <f>G106*H106</f>
        <v>3501.7499999999995</v>
      </c>
      <c r="BK106" s="63"/>
      <c r="BL106" s="54">
        <v>766</v>
      </c>
      <c r="BW106" s="54" t="str">
        <f>I106</f>
        <v>21</v>
      </c>
    </row>
    <row r="107" spans="1:16" ht="15">
      <c r="A107" s="57"/>
      <c r="D107" s="58" t="s">
        <v>135</v>
      </c>
      <c r="E107" s="59" t="s">
        <v>261</v>
      </c>
      <c r="G107" s="60">
        <v>8.700000000000001</v>
      </c>
      <c r="P107" s="61"/>
    </row>
    <row r="108" spans="1:75" ht="15">
      <c r="A108" s="27" t="s">
        <v>33</v>
      </c>
      <c r="B108" s="12" t="s">
        <v>224</v>
      </c>
      <c r="C108" s="12" t="s">
        <v>98</v>
      </c>
      <c r="D108" s="80" t="s">
        <v>117</v>
      </c>
      <c r="E108" s="80"/>
      <c r="F108" s="12" t="s">
        <v>74</v>
      </c>
      <c r="G108" s="54">
        <v>1</v>
      </c>
      <c r="H108" s="54">
        <v>284.51</v>
      </c>
      <c r="I108" s="55" t="s">
        <v>230</v>
      </c>
      <c r="J108" s="54">
        <f>G108*AO108</f>
        <v>7.910000000000004</v>
      </c>
      <c r="K108" s="54">
        <f>G108*AP108</f>
        <v>276.59999999999997</v>
      </c>
      <c r="L108" s="54">
        <f>G108*H108</f>
        <v>284.51</v>
      </c>
      <c r="M108" s="54">
        <f>L108*(1+BW108/100)</f>
        <v>344.2571</v>
      </c>
      <c r="N108" s="54">
        <v>1E-05</v>
      </c>
      <c r="O108" s="54">
        <f>G108*N108</f>
        <v>1E-05</v>
      </c>
      <c r="P108" s="56" t="s">
        <v>157</v>
      </c>
      <c r="Z108" s="54">
        <f>IF(AQ108="5",BJ108,0)</f>
        <v>0</v>
      </c>
      <c r="AB108" s="54">
        <f>IF(AQ108="1",BH108,0)</f>
        <v>0</v>
      </c>
      <c r="AC108" s="54">
        <f>IF(AQ108="1",BI108,0)</f>
        <v>0</v>
      </c>
      <c r="AD108" s="54">
        <f>IF(AQ108="7",BH108,0)</f>
        <v>7.910000000000004</v>
      </c>
      <c r="AE108" s="54">
        <f>IF(AQ108="7",BI108,0)</f>
        <v>276.59999999999997</v>
      </c>
      <c r="AF108" s="54">
        <f>IF(AQ108="2",BH108,0)</f>
        <v>0</v>
      </c>
      <c r="AG108" s="54">
        <f>IF(AQ108="2",BI108,0)</f>
        <v>0</v>
      </c>
      <c r="AH108" s="54">
        <f>IF(AQ108="0",BJ108,0)</f>
        <v>0</v>
      </c>
      <c r="AI108" s="37" t="s">
        <v>224</v>
      </c>
      <c r="AJ108" s="54">
        <f>IF(AN108=0,L108,0)</f>
        <v>0</v>
      </c>
      <c r="AK108" s="54">
        <f>IF(AN108=12,L108,0)</f>
        <v>0</v>
      </c>
      <c r="AL108" s="54">
        <f>IF(AN108=21,L108,0)</f>
        <v>284.51</v>
      </c>
      <c r="AN108" s="54">
        <v>21</v>
      </c>
      <c r="AO108" s="54">
        <f>H108*0.0278021862148958</f>
        <v>7.910000000000004</v>
      </c>
      <c r="AP108" s="54">
        <f>H108*(1-0.0278021862148958)</f>
        <v>276.59999999999997</v>
      </c>
      <c r="AQ108" s="55" t="s">
        <v>340</v>
      </c>
      <c r="AV108" s="54">
        <f>AW108+AX108</f>
        <v>284.51</v>
      </c>
      <c r="AW108" s="54">
        <f>G108*AO108</f>
        <v>7.910000000000004</v>
      </c>
      <c r="AX108" s="54">
        <f>G108*AP108</f>
        <v>276.59999999999997</v>
      </c>
      <c r="AY108" s="55" t="s">
        <v>38</v>
      </c>
      <c r="AZ108" s="55" t="s">
        <v>277</v>
      </c>
      <c r="BA108" s="37" t="s">
        <v>251</v>
      </c>
      <c r="BC108" s="54">
        <f>AW108+AX108</f>
        <v>284.51</v>
      </c>
      <c r="BD108" s="54">
        <f>H108/(100-BE108)*100</f>
        <v>284.51</v>
      </c>
      <c r="BE108" s="54">
        <v>0</v>
      </c>
      <c r="BF108" s="54">
        <f>O108</f>
        <v>1E-05</v>
      </c>
      <c r="BH108" s="54">
        <f>G108*AO108</f>
        <v>7.910000000000004</v>
      </c>
      <c r="BI108" s="54">
        <f>G108*AP108</f>
        <v>276.59999999999997</v>
      </c>
      <c r="BJ108" s="54">
        <f>G108*H108</f>
        <v>284.51</v>
      </c>
      <c r="BK108" s="54"/>
      <c r="BL108" s="54">
        <v>766</v>
      </c>
      <c r="BW108" s="54" t="str">
        <f>I108</f>
        <v>21</v>
      </c>
    </row>
    <row r="109" spans="1:16" ht="15">
      <c r="A109" s="57"/>
      <c r="D109" s="58" t="s">
        <v>338</v>
      </c>
      <c r="E109" s="59" t="s">
        <v>71</v>
      </c>
      <c r="G109" s="60">
        <v>1</v>
      </c>
      <c r="P109" s="61"/>
    </row>
    <row r="110" spans="1:75" ht="15">
      <c r="A110" s="62" t="s">
        <v>73</v>
      </c>
      <c r="B110" s="15" t="s">
        <v>224</v>
      </c>
      <c r="C110" s="15" t="s">
        <v>293</v>
      </c>
      <c r="D110" s="137" t="s">
        <v>381</v>
      </c>
      <c r="E110" s="137"/>
      <c r="F110" s="15" t="s">
        <v>282</v>
      </c>
      <c r="G110" s="63">
        <v>1.2</v>
      </c>
      <c r="H110" s="63">
        <v>402.5</v>
      </c>
      <c r="I110" s="64" t="s">
        <v>230</v>
      </c>
      <c r="J110" s="63">
        <f>G110*AO110</f>
        <v>483</v>
      </c>
      <c r="K110" s="63">
        <f>G110*AP110</f>
        <v>0</v>
      </c>
      <c r="L110" s="63">
        <f>G110*H110</f>
        <v>483</v>
      </c>
      <c r="M110" s="63">
        <f>L110*(1+BW110/100)</f>
        <v>584.43</v>
      </c>
      <c r="N110" s="63">
        <v>0.00182</v>
      </c>
      <c r="O110" s="63">
        <f>G110*N110</f>
        <v>0.0021839999999999997</v>
      </c>
      <c r="P110" s="65" t="s">
        <v>157</v>
      </c>
      <c r="Z110" s="54">
        <f>IF(AQ110="5",BJ110,0)</f>
        <v>0</v>
      </c>
      <c r="AB110" s="54">
        <f>IF(AQ110="1",BH110,0)</f>
        <v>0</v>
      </c>
      <c r="AC110" s="54">
        <f>IF(AQ110="1",BI110,0)</f>
        <v>0</v>
      </c>
      <c r="AD110" s="54">
        <f>IF(AQ110="7",BH110,0)</f>
        <v>483</v>
      </c>
      <c r="AE110" s="54">
        <f>IF(AQ110="7",BI110,0)</f>
        <v>0</v>
      </c>
      <c r="AF110" s="54">
        <f>IF(AQ110="2",BH110,0)</f>
        <v>0</v>
      </c>
      <c r="AG110" s="54">
        <f>IF(AQ110="2",BI110,0)</f>
        <v>0</v>
      </c>
      <c r="AH110" s="54">
        <f>IF(AQ110="0",BJ110,0)</f>
        <v>0</v>
      </c>
      <c r="AI110" s="37" t="s">
        <v>224</v>
      </c>
      <c r="AJ110" s="63">
        <f>IF(AN110=0,L110,0)</f>
        <v>0</v>
      </c>
      <c r="AK110" s="63">
        <f>IF(AN110=12,L110,0)</f>
        <v>0</v>
      </c>
      <c r="AL110" s="63">
        <f>IF(AN110=21,L110,0)</f>
        <v>483</v>
      </c>
      <c r="AN110" s="54">
        <v>21</v>
      </c>
      <c r="AO110" s="54">
        <f>H110*1</f>
        <v>402.5</v>
      </c>
      <c r="AP110" s="54">
        <f>H110*(1-1)</f>
        <v>0</v>
      </c>
      <c r="AQ110" s="64" t="s">
        <v>340</v>
      </c>
      <c r="AV110" s="54">
        <f>AW110+AX110</f>
        <v>483</v>
      </c>
      <c r="AW110" s="54">
        <f>G110*AO110</f>
        <v>483</v>
      </c>
      <c r="AX110" s="54">
        <f>G110*AP110</f>
        <v>0</v>
      </c>
      <c r="AY110" s="55" t="s">
        <v>38</v>
      </c>
      <c r="AZ110" s="55" t="s">
        <v>277</v>
      </c>
      <c r="BA110" s="37" t="s">
        <v>251</v>
      </c>
      <c r="BC110" s="54">
        <f>AW110+AX110</f>
        <v>483</v>
      </c>
      <c r="BD110" s="54">
        <f>H110/(100-BE110)*100</f>
        <v>402.50000000000006</v>
      </c>
      <c r="BE110" s="54">
        <v>0</v>
      </c>
      <c r="BF110" s="54">
        <f>O110</f>
        <v>0.0021839999999999997</v>
      </c>
      <c r="BH110" s="63">
        <f>G110*AO110</f>
        <v>483</v>
      </c>
      <c r="BI110" s="63">
        <f>G110*AP110</f>
        <v>0</v>
      </c>
      <c r="BJ110" s="63">
        <f>G110*H110</f>
        <v>483</v>
      </c>
      <c r="BK110" s="63"/>
      <c r="BL110" s="54">
        <v>766</v>
      </c>
      <c r="BW110" s="54" t="str">
        <f>I110</f>
        <v>21</v>
      </c>
    </row>
    <row r="111" spans="1:16" ht="15">
      <c r="A111" s="57"/>
      <c r="D111" s="58" t="s">
        <v>217</v>
      </c>
      <c r="E111" s="59" t="s">
        <v>71</v>
      </c>
      <c r="G111" s="60">
        <v>1.2000000000000002</v>
      </c>
      <c r="P111" s="61"/>
    </row>
    <row r="112" spans="1:75" ht="15">
      <c r="A112" s="27" t="s">
        <v>44</v>
      </c>
      <c r="B112" s="12" t="s">
        <v>224</v>
      </c>
      <c r="C112" s="12" t="s">
        <v>114</v>
      </c>
      <c r="D112" s="80" t="s">
        <v>228</v>
      </c>
      <c r="E112" s="80"/>
      <c r="F112" s="12" t="s">
        <v>74</v>
      </c>
      <c r="G112" s="54">
        <v>14</v>
      </c>
      <c r="H112" s="54">
        <v>384.5</v>
      </c>
      <c r="I112" s="55" t="s">
        <v>230</v>
      </c>
      <c r="J112" s="54">
        <f>G112*AO112</f>
        <v>147.55999999999983</v>
      </c>
      <c r="K112" s="54">
        <f>G112*AP112</f>
        <v>5235.4400000000005</v>
      </c>
      <c r="L112" s="54">
        <f>G112*H112</f>
        <v>5383</v>
      </c>
      <c r="M112" s="54">
        <f>L112*(1+BW112/100)</f>
        <v>6513.429999999999</v>
      </c>
      <c r="N112" s="54">
        <v>2E-05</v>
      </c>
      <c r="O112" s="54">
        <f>G112*N112</f>
        <v>0.00028000000000000003</v>
      </c>
      <c r="P112" s="56" t="s">
        <v>157</v>
      </c>
      <c r="Z112" s="54">
        <f>IF(AQ112="5",BJ112,0)</f>
        <v>0</v>
      </c>
      <c r="AB112" s="54">
        <f>IF(AQ112="1",BH112,0)</f>
        <v>0</v>
      </c>
      <c r="AC112" s="54">
        <f>IF(AQ112="1",BI112,0)</f>
        <v>0</v>
      </c>
      <c r="AD112" s="54">
        <f>IF(AQ112="7",BH112,0)</f>
        <v>147.55999999999983</v>
      </c>
      <c r="AE112" s="54">
        <f>IF(AQ112="7",BI112,0)</f>
        <v>5235.4400000000005</v>
      </c>
      <c r="AF112" s="54">
        <f>IF(AQ112="2",BH112,0)</f>
        <v>0</v>
      </c>
      <c r="AG112" s="54">
        <f>IF(AQ112="2",BI112,0)</f>
        <v>0</v>
      </c>
      <c r="AH112" s="54">
        <f>IF(AQ112="0",BJ112,0)</f>
        <v>0</v>
      </c>
      <c r="AI112" s="37" t="s">
        <v>224</v>
      </c>
      <c r="AJ112" s="54">
        <f>IF(AN112=0,L112,0)</f>
        <v>0</v>
      </c>
      <c r="AK112" s="54">
        <f>IF(AN112=12,L112,0)</f>
        <v>0</v>
      </c>
      <c r="AL112" s="54">
        <f>IF(AN112=21,L112,0)</f>
        <v>5383</v>
      </c>
      <c r="AN112" s="54">
        <v>21</v>
      </c>
      <c r="AO112" s="54">
        <f>H112*0.0274122236671001</f>
        <v>10.539999999999988</v>
      </c>
      <c r="AP112" s="54">
        <f>H112*(1-0.0274122236671001)</f>
        <v>373.96000000000004</v>
      </c>
      <c r="AQ112" s="55" t="s">
        <v>340</v>
      </c>
      <c r="AV112" s="54">
        <f>AW112+AX112</f>
        <v>5383</v>
      </c>
      <c r="AW112" s="54">
        <f>G112*AO112</f>
        <v>147.55999999999983</v>
      </c>
      <c r="AX112" s="54">
        <f>G112*AP112</f>
        <v>5235.4400000000005</v>
      </c>
      <c r="AY112" s="55" t="s">
        <v>38</v>
      </c>
      <c r="AZ112" s="55" t="s">
        <v>277</v>
      </c>
      <c r="BA112" s="37" t="s">
        <v>251</v>
      </c>
      <c r="BC112" s="54">
        <f>AW112+AX112</f>
        <v>5383</v>
      </c>
      <c r="BD112" s="54">
        <f>H112/(100-BE112)*100</f>
        <v>384.5</v>
      </c>
      <c r="BE112" s="54">
        <v>0</v>
      </c>
      <c r="BF112" s="54">
        <f>O112</f>
        <v>0.00028000000000000003</v>
      </c>
      <c r="BH112" s="54">
        <f>G112*AO112</f>
        <v>147.55999999999983</v>
      </c>
      <c r="BI112" s="54">
        <f>G112*AP112</f>
        <v>5235.4400000000005</v>
      </c>
      <c r="BJ112" s="54">
        <f>G112*H112</f>
        <v>5383</v>
      </c>
      <c r="BK112" s="54"/>
      <c r="BL112" s="54">
        <v>766</v>
      </c>
      <c r="BW112" s="54" t="str">
        <f>I112</f>
        <v>21</v>
      </c>
    </row>
    <row r="113" spans="1:16" ht="15">
      <c r="A113" s="57"/>
      <c r="D113" s="58" t="s">
        <v>122</v>
      </c>
      <c r="E113" s="59" t="s">
        <v>312</v>
      </c>
      <c r="G113" s="60">
        <v>14.000000000000002</v>
      </c>
      <c r="P113" s="61"/>
    </row>
    <row r="114" spans="1:75" ht="15">
      <c r="A114" s="62" t="s">
        <v>332</v>
      </c>
      <c r="B114" s="15" t="s">
        <v>224</v>
      </c>
      <c r="C114" s="15" t="s">
        <v>293</v>
      </c>
      <c r="D114" s="137" t="s">
        <v>381</v>
      </c>
      <c r="E114" s="137"/>
      <c r="F114" s="15" t="s">
        <v>282</v>
      </c>
      <c r="G114" s="63">
        <v>25.2</v>
      </c>
      <c r="H114" s="63">
        <v>402.5</v>
      </c>
      <c r="I114" s="64" t="s">
        <v>230</v>
      </c>
      <c r="J114" s="63">
        <f>G114*AO114</f>
        <v>10143</v>
      </c>
      <c r="K114" s="63">
        <f>G114*AP114</f>
        <v>0</v>
      </c>
      <c r="L114" s="63">
        <f>G114*H114</f>
        <v>10143</v>
      </c>
      <c r="M114" s="63">
        <f>L114*(1+BW114/100)</f>
        <v>12273.029999999999</v>
      </c>
      <c r="N114" s="63">
        <v>0.00182</v>
      </c>
      <c r="O114" s="63">
        <f>G114*N114</f>
        <v>0.045864</v>
      </c>
      <c r="P114" s="65" t="s">
        <v>157</v>
      </c>
      <c r="Z114" s="54">
        <f>IF(AQ114="5",BJ114,0)</f>
        <v>0</v>
      </c>
      <c r="AB114" s="54">
        <f>IF(AQ114="1",BH114,0)</f>
        <v>0</v>
      </c>
      <c r="AC114" s="54">
        <f>IF(AQ114="1",BI114,0)</f>
        <v>0</v>
      </c>
      <c r="AD114" s="54">
        <f>IF(AQ114="7",BH114,0)</f>
        <v>10143</v>
      </c>
      <c r="AE114" s="54">
        <f>IF(AQ114="7",BI114,0)</f>
        <v>0</v>
      </c>
      <c r="AF114" s="54">
        <f>IF(AQ114="2",BH114,0)</f>
        <v>0</v>
      </c>
      <c r="AG114" s="54">
        <f>IF(AQ114="2",BI114,0)</f>
        <v>0</v>
      </c>
      <c r="AH114" s="54">
        <f>IF(AQ114="0",BJ114,0)</f>
        <v>0</v>
      </c>
      <c r="AI114" s="37" t="s">
        <v>224</v>
      </c>
      <c r="AJ114" s="63">
        <f>IF(AN114=0,L114,0)</f>
        <v>0</v>
      </c>
      <c r="AK114" s="63">
        <f>IF(AN114=12,L114,0)</f>
        <v>0</v>
      </c>
      <c r="AL114" s="63">
        <f>IF(AN114=21,L114,0)</f>
        <v>10143</v>
      </c>
      <c r="AN114" s="54">
        <v>21</v>
      </c>
      <c r="AO114" s="54">
        <f>H114*1</f>
        <v>402.5</v>
      </c>
      <c r="AP114" s="54">
        <f>H114*(1-1)</f>
        <v>0</v>
      </c>
      <c r="AQ114" s="64" t="s">
        <v>340</v>
      </c>
      <c r="AV114" s="54">
        <f>AW114+AX114</f>
        <v>10143</v>
      </c>
      <c r="AW114" s="54">
        <f>G114*AO114</f>
        <v>10143</v>
      </c>
      <c r="AX114" s="54">
        <f>G114*AP114</f>
        <v>0</v>
      </c>
      <c r="AY114" s="55" t="s">
        <v>38</v>
      </c>
      <c r="AZ114" s="55" t="s">
        <v>277</v>
      </c>
      <c r="BA114" s="37" t="s">
        <v>251</v>
      </c>
      <c r="BC114" s="54">
        <f>AW114+AX114</f>
        <v>10143</v>
      </c>
      <c r="BD114" s="54">
        <f>H114/(100-BE114)*100</f>
        <v>402.50000000000006</v>
      </c>
      <c r="BE114" s="54">
        <v>0</v>
      </c>
      <c r="BF114" s="54">
        <f>O114</f>
        <v>0.045864</v>
      </c>
      <c r="BH114" s="63">
        <f>G114*AO114</f>
        <v>10143</v>
      </c>
      <c r="BI114" s="63">
        <f>G114*AP114</f>
        <v>0</v>
      </c>
      <c r="BJ114" s="63">
        <f>G114*H114</f>
        <v>10143</v>
      </c>
      <c r="BK114" s="63"/>
      <c r="BL114" s="54">
        <v>766</v>
      </c>
      <c r="BW114" s="54" t="str">
        <f>I114</f>
        <v>21</v>
      </c>
    </row>
    <row r="115" spans="1:16" ht="15">
      <c r="A115" s="57"/>
      <c r="D115" s="58" t="s">
        <v>180</v>
      </c>
      <c r="E115" s="59" t="s">
        <v>312</v>
      </c>
      <c r="G115" s="60">
        <v>25.200000000000003</v>
      </c>
      <c r="P115" s="61"/>
    </row>
    <row r="116" spans="1:75" ht="15">
      <c r="A116" s="27" t="s">
        <v>365</v>
      </c>
      <c r="B116" s="12" t="s">
        <v>224</v>
      </c>
      <c r="C116" s="12" t="s">
        <v>249</v>
      </c>
      <c r="D116" s="80" t="s">
        <v>354</v>
      </c>
      <c r="E116" s="80"/>
      <c r="F116" s="12" t="s">
        <v>282</v>
      </c>
      <c r="G116" s="54">
        <v>170.48</v>
      </c>
      <c r="H116" s="54">
        <v>166.51</v>
      </c>
      <c r="I116" s="55" t="s">
        <v>230</v>
      </c>
      <c r="J116" s="54">
        <f>G116*AO116</f>
        <v>13241.18383900105</v>
      </c>
      <c r="K116" s="54">
        <f>G116*AP116</f>
        <v>15145.440960998947</v>
      </c>
      <c r="L116" s="54">
        <f>G116*H116</f>
        <v>28386.624799999998</v>
      </c>
      <c r="M116" s="54">
        <f>L116*(1+BW116/100)</f>
        <v>34347.816007999994</v>
      </c>
      <c r="N116" s="54">
        <v>4E-05</v>
      </c>
      <c r="O116" s="54">
        <f>G116*N116</f>
        <v>0.0068192</v>
      </c>
      <c r="P116" s="56" t="s">
        <v>157</v>
      </c>
      <c r="Z116" s="54">
        <f>IF(AQ116="5",BJ116,0)</f>
        <v>0</v>
      </c>
      <c r="AB116" s="54">
        <f>IF(AQ116="1",BH116,0)</f>
        <v>0</v>
      </c>
      <c r="AC116" s="54">
        <f>IF(AQ116="1",BI116,0)</f>
        <v>0</v>
      </c>
      <c r="AD116" s="54">
        <f>IF(AQ116="7",BH116,0)</f>
        <v>13241.18383900105</v>
      </c>
      <c r="AE116" s="54">
        <f>IF(AQ116="7",BI116,0)</f>
        <v>15145.440960998947</v>
      </c>
      <c r="AF116" s="54">
        <f>IF(AQ116="2",BH116,0)</f>
        <v>0</v>
      </c>
      <c r="AG116" s="54">
        <f>IF(AQ116="2",BI116,0)</f>
        <v>0</v>
      </c>
      <c r="AH116" s="54">
        <f>IF(AQ116="0",BJ116,0)</f>
        <v>0</v>
      </c>
      <c r="AI116" s="37" t="s">
        <v>224</v>
      </c>
      <c r="AJ116" s="54">
        <f>IF(AN116=0,L116,0)</f>
        <v>0</v>
      </c>
      <c r="AK116" s="54">
        <f>IF(AN116=12,L116,0)</f>
        <v>0</v>
      </c>
      <c r="AL116" s="54">
        <f>IF(AN116=21,L116,0)</f>
        <v>28386.624799999998</v>
      </c>
      <c r="AN116" s="54">
        <v>21</v>
      </c>
      <c r="AO116" s="54">
        <f>H116*0.466458549837917</f>
        <v>77.67001313351156</v>
      </c>
      <c r="AP116" s="54">
        <f>H116*(1-0.466458549837917)</f>
        <v>88.83998686648843</v>
      </c>
      <c r="AQ116" s="55" t="s">
        <v>340</v>
      </c>
      <c r="AV116" s="54">
        <f>AW116+AX116</f>
        <v>28386.624799999998</v>
      </c>
      <c r="AW116" s="54">
        <f>G116*AO116</f>
        <v>13241.18383900105</v>
      </c>
      <c r="AX116" s="54">
        <f>G116*AP116</f>
        <v>15145.440960998947</v>
      </c>
      <c r="AY116" s="55" t="s">
        <v>38</v>
      </c>
      <c r="AZ116" s="55" t="s">
        <v>277</v>
      </c>
      <c r="BA116" s="37" t="s">
        <v>251</v>
      </c>
      <c r="BC116" s="54">
        <f>AW116+AX116</f>
        <v>28386.624799999998</v>
      </c>
      <c r="BD116" s="54">
        <f>H116/(100-BE116)*100</f>
        <v>166.51</v>
      </c>
      <c r="BE116" s="54">
        <v>0</v>
      </c>
      <c r="BF116" s="54">
        <f>O116</f>
        <v>0.0068192</v>
      </c>
      <c r="BH116" s="54">
        <f>G116*AO116</f>
        <v>13241.18383900105</v>
      </c>
      <c r="BI116" s="54">
        <f>G116*AP116</f>
        <v>15145.440960998947</v>
      </c>
      <c r="BJ116" s="54">
        <f>G116*H116</f>
        <v>28386.624799999998</v>
      </c>
      <c r="BK116" s="54"/>
      <c r="BL116" s="54">
        <v>766</v>
      </c>
      <c r="BW116" s="54" t="str">
        <f>I116</f>
        <v>21</v>
      </c>
    </row>
    <row r="117" spans="1:16" ht="15">
      <c r="A117" s="57"/>
      <c r="D117" s="135" t="s">
        <v>374</v>
      </c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6"/>
    </row>
    <row r="118" spans="1:16" ht="15">
      <c r="A118" s="57"/>
      <c r="D118" s="58" t="s">
        <v>43</v>
      </c>
      <c r="E118" s="59" t="s">
        <v>202</v>
      </c>
      <c r="G118" s="60">
        <v>9.680000000000001</v>
      </c>
      <c r="P118" s="61"/>
    </row>
    <row r="119" spans="1:16" ht="15">
      <c r="A119" s="57"/>
      <c r="D119" s="58" t="s">
        <v>14</v>
      </c>
      <c r="E119" s="59" t="s">
        <v>261</v>
      </c>
      <c r="G119" s="60">
        <v>46.800000000000004</v>
      </c>
      <c r="P119" s="61"/>
    </row>
    <row r="120" spans="1:16" ht="15">
      <c r="A120" s="57"/>
      <c r="D120" s="58" t="s">
        <v>105</v>
      </c>
      <c r="E120" s="59" t="s">
        <v>71</v>
      </c>
      <c r="G120" s="60">
        <v>4.800000000000001</v>
      </c>
      <c r="P120" s="61"/>
    </row>
    <row r="121" spans="1:16" ht="15">
      <c r="A121" s="57"/>
      <c r="D121" s="58" t="s">
        <v>64</v>
      </c>
      <c r="E121" s="59" t="s">
        <v>312</v>
      </c>
      <c r="G121" s="60">
        <v>109.2</v>
      </c>
      <c r="P121" s="61"/>
    </row>
    <row r="122" spans="1:75" ht="15">
      <c r="A122" s="27" t="s">
        <v>24</v>
      </c>
      <c r="B122" s="12" t="s">
        <v>224</v>
      </c>
      <c r="C122" s="12" t="s">
        <v>289</v>
      </c>
      <c r="D122" s="80" t="s">
        <v>271</v>
      </c>
      <c r="E122" s="80"/>
      <c r="F122" s="12" t="s">
        <v>161</v>
      </c>
      <c r="G122" s="54">
        <v>2.93</v>
      </c>
      <c r="H122" s="54">
        <v>1030</v>
      </c>
      <c r="I122" s="55" t="s">
        <v>230</v>
      </c>
      <c r="J122" s="54">
        <f>G122*AO122</f>
        <v>0</v>
      </c>
      <c r="K122" s="54">
        <f>G122*AP122</f>
        <v>3017.9</v>
      </c>
      <c r="L122" s="54">
        <f>G122*H122</f>
        <v>3017.9</v>
      </c>
      <c r="M122" s="54">
        <f>L122*(1+BW122/100)</f>
        <v>3651.659</v>
      </c>
      <c r="N122" s="54">
        <v>0</v>
      </c>
      <c r="O122" s="54">
        <f>G122*N122</f>
        <v>0</v>
      </c>
      <c r="P122" s="56" t="s">
        <v>157</v>
      </c>
      <c r="Z122" s="54">
        <f>IF(AQ122="5",BJ122,0)</f>
        <v>3017.9</v>
      </c>
      <c r="AB122" s="54">
        <f>IF(AQ122="1",BH122,0)</f>
        <v>0</v>
      </c>
      <c r="AC122" s="54">
        <f>IF(AQ122="1",BI122,0)</f>
        <v>0</v>
      </c>
      <c r="AD122" s="54">
        <f>IF(AQ122="7",BH122,0)</f>
        <v>0</v>
      </c>
      <c r="AE122" s="54">
        <f>IF(AQ122="7",BI122,0)</f>
        <v>0</v>
      </c>
      <c r="AF122" s="54">
        <f>IF(AQ122="2",BH122,0)</f>
        <v>0</v>
      </c>
      <c r="AG122" s="54">
        <f>IF(AQ122="2",BI122,0)</f>
        <v>0</v>
      </c>
      <c r="AH122" s="54">
        <f>IF(AQ122="0",BJ122,0)</f>
        <v>0</v>
      </c>
      <c r="AI122" s="37" t="s">
        <v>224</v>
      </c>
      <c r="AJ122" s="54">
        <f>IF(AN122=0,L122,0)</f>
        <v>0</v>
      </c>
      <c r="AK122" s="54">
        <f>IF(AN122=12,L122,0)</f>
        <v>0</v>
      </c>
      <c r="AL122" s="54">
        <f>IF(AN122=21,L122,0)</f>
        <v>3017.9</v>
      </c>
      <c r="AN122" s="54">
        <v>21</v>
      </c>
      <c r="AO122" s="54">
        <f>H122*0</f>
        <v>0</v>
      </c>
      <c r="AP122" s="54">
        <f>H122*(1-0)</f>
        <v>1030</v>
      </c>
      <c r="AQ122" s="55" t="s">
        <v>179</v>
      </c>
      <c r="AV122" s="54">
        <f>AW122+AX122</f>
        <v>3017.9</v>
      </c>
      <c r="AW122" s="54">
        <f>G122*AO122</f>
        <v>0</v>
      </c>
      <c r="AX122" s="54">
        <f>G122*AP122</f>
        <v>3017.9</v>
      </c>
      <c r="AY122" s="55" t="s">
        <v>38</v>
      </c>
      <c r="AZ122" s="55" t="s">
        <v>277</v>
      </c>
      <c r="BA122" s="37" t="s">
        <v>251</v>
      </c>
      <c r="BC122" s="54">
        <f>AW122+AX122</f>
        <v>3017.9</v>
      </c>
      <c r="BD122" s="54">
        <f>H122/(100-BE122)*100</f>
        <v>1030</v>
      </c>
      <c r="BE122" s="54">
        <v>0</v>
      </c>
      <c r="BF122" s="54">
        <f>O122</f>
        <v>0</v>
      </c>
      <c r="BH122" s="54">
        <f>G122*AO122</f>
        <v>0</v>
      </c>
      <c r="BI122" s="54">
        <f>G122*AP122</f>
        <v>3017.9</v>
      </c>
      <c r="BJ122" s="54">
        <f>G122*H122</f>
        <v>3017.9</v>
      </c>
      <c r="BK122" s="54"/>
      <c r="BL122" s="54">
        <v>766</v>
      </c>
      <c r="BW122" s="54" t="str">
        <f>I122</f>
        <v>21</v>
      </c>
    </row>
    <row r="123" spans="1:47" ht="15">
      <c r="A123" s="51" t="s">
        <v>224</v>
      </c>
      <c r="B123" s="7" t="s">
        <v>224</v>
      </c>
      <c r="C123" s="7" t="s">
        <v>159</v>
      </c>
      <c r="D123" s="133" t="s">
        <v>96</v>
      </c>
      <c r="E123" s="133"/>
      <c r="F123" s="52" t="s">
        <v>310</v>
      </c>
      <c r="G123" s="52" t="s">
        <v>310</v>
      </c>
      <c r="H123" s="52" t="s">
        <v>310</v>
      </c>
      <c r="I123" s="52" t="s">
        <v>310</v>
      </c>
      <c r="J123" s="29">
        <f>SUM(J124:J124)</f>
        <v>150.89999999999984</v>
      </c>
      <c r="K123" s="29">
        <f>SUM(K124:K124)</f>
        <v>756.6000000000001</v>
      </c>
      <c r="L123" s="29">
        <f>SUM(L124:L124)</f>
        <v>907.5</v>
      </c>
      <c r="M123" s="29">
        <f>SUM(M124:M124)</f>
        <v>1098.075</v>
      </c>
      <c r="N123" s="37" t="s">
        <v>224</v>
      </c>
      <c r="O123" s="29">
        <f>SUM(O124:O124)</f>
        <v>0.01575</v>
      </c>
      <c r="P123" s="53" t="s">
        <v>224</v>
      </c>
      <c r="AI123" s="37" t="s">
        <v>224</v>
      </c>
      <c r="AS123" s="29">
        <f>SUM(AJ124:AJ124)</f>
        <v>0</v>
      </c>
      <c r="AT123" s="29">
        <f>SUM(AK124:AK124)</f>
        <v>0</v>
      </c>
      <c r="AU123" s="29">
        <f>SUM(AL124:AL124)</f>
        <v>907.5</v>
      </c>
    </row>
    <row r="124" spans="1:75" ht="15">
      <c r="A124" s="27" t="s">
        <v>208</v>
      </c>
      <c r="B124" s="12" t="s">
        <v>224</v>
      </c>
      <c r="C124" s="12" t="s">
        <v>292</v>
      </c>
      <c r="D124" s="80" t="s">
        <v>378</v>
      </c>
      <c r="E124" s="80"/>
      <c r="F124" s="12" t="s">
        <v>316</v>
      </c>
      <c r="G124" s="54">
        <v>15</v>
      </c>
      <c r="H124" s="54">
        <v>60.5</v>
      </c>
      <c r="I124" s="55" t="s">
        <v>230</v>
      </c>
      <c r="J124" s="54">
        <f>G124*AO124</f>
        <v>150.89999999999984</v>
      </c>
      <c r="K124" s="54">
        <f>G124*AP124</f>
        <v>756.6000000000001</v>
      </c>
      <c r="L124" s="54">
        <f>G124*H124</f>
        <v>907.5</v>
      </c>
      <c r="M124" s="54">
        <f>L124*(1+BW124/100)</f>
        <v>1098.075</v>
      </c>
      <c r="N124" s="54">
        <v>0.00105</v>
      </c>
      <c r="O124" s="54">
        <f>G124*N124</f>
        <v>0.01575</v>
      </c>
      <c r="P124" s="56" t="s">
        <v>157</v>
      </c>
      <c r="Z124" s="54">
        <f>IF(AQ124="5",BJ124,0)</f>
        <v>0</v>
      </c>
      <c r="AB124" s="54">
        <f>IF(AQ124="1",BH124,0)</f>
        <v>0</v>
      </c>
      <c r="AC124" s="54">
        <f>IF(AQ124="1",BI124,0)</f>
        <v>0</v>
      </c>
      <c r="AD124" s="54">
        <f>IF(AQ124="7",BH124,0)</f>
        <v>150.89999999999984</v>
      </c>
      <c r="AE124" s="54">
        <f>IF(AQ124="7",BI124,0)</f>
        <v>756.6000000000001</v>
      </c>
      <c r="AF124" s="54">
        <f>IF(AQ124="2",BH124,0)</f>
        <v>0</v>
      </c>
      <c r="AG124" s="54">
        <f>IF(AQ124="2",BI124,0)</f>
        <v>0</v>
      </c>
      <c r="AH124" s="54">
        <f>IF(AQ124="0",BJ124,0)</f>
        <v>0</v>
      </c>
      <c r="AI124" s="37" t="s">
        <v>224</v>
      </c>
      <c r="AJ124" s="54">
        <f>IF(AN124=0,L124,0)</f>
        <v>0</v>
      </c>
      <c r="AK124" s="54">
        <f>IF(AN124=12,L124,0)</f>
        <v>0</v>
      </c>
      <c r="AL124" s="54">
        <f>IF(AN124=21,L124,0)</f>
        <v>907.5</v>
      </c>
      <c r="AN124" s="54">
        <v>21</v>
      </c>
      <c r="AO124" s="54">
        <f>H124*0.166280991735537</f>
        <v>10.05999999999999</v>
      </c>
      <c r="AP124" s="54">
        <f>H124*(1-0.166280991735537)</f>
        <v>50.44000000000001</v>
      </c>
      <c r="AQ124" s="55" t="s">
        <v>340</v>
      </c>
      <c r="AV124" s="54">
        <f>AW124+AX124</f>
        <v>907.5</v>
      </c>
      <c r="AW124" s="54">
        <f>G124*AO124</f>
        <v>150.89999999999984</v>
      </c>
      <c r="AX124" s="54">
        <f>G124*AP124</f>
        <v>756.6000000000001</v>
      </c>
      <c r="AY124" s="55" t="s">
        <v>90</v>
      </c>
      <c r="AZ124" s="55" t="s">
        <v>277</v>
      </c>
      <c r="BA124" s="37" t="s">
        <v>251</v>
      </c>
      <c r="BC124" s="54">
        <f>AW124+AX124</f>
        <v>907.5</v>
      </c>
      <c r="BD124" s="54">
        <f>H124/(100-BE124)*100</f>
        <v>60.5</v>
      </c>
      <c r="BE124" s="54">
        <v>0</v>
      </c>
      <c r="BF124" s="54">
        <f>O124</f>
        <v>0.01575</v>
      </c>
      <c r="BH124" s="54">
        <f>G124*AO124</f>
        <v>150.89999999999984</v>
      </c>
      <c r="BI124" s="54">
        <f>G124*AP124</f>
        <v>756.6000000000001</v>
      </c>
      <c r="BJ124" s="54">
        <f>G124*H124</f>
        <v>907.5</v>
      </c>
      <c r="BK124" s="54"/>
      <c r="BL124" s="54">
        <v>767</v>
      </c>
      <c r="BW124" s="54" t="str">
        <f>I124</f>
        <v>21</v>
      </c>
    </row>
    <row r="125" spans="1:16" ht="15">
      <c r="A125" s="57"/>
      <c r="D125" s="58" t="s">
        <v>133</v>
      </c>
      <c r="E125" s="59" t="s">
        <v>186</v>
      </c>
      <c r="G125" s="60">
        <v>15.000000000000002</v>
      </c>
      <c r="P125" s="61"/>
    </row>
    <row r="126" spans="1:47" ht="15">
      <c r="A126" s="51" t="s">
        <v>224</v>
      </c>
      <c r="B126" s="7" t="s">
        <v>224</v>
      </c>
      <c r="C126" s="7" t="s">
        <v>275</v>
      </c>
      <c r="D126" s="133" t="s">
        <v>151</v>
      </c>
      <c r="E126" s="133"/>
      <c r="F126" s="52" t="s">
        <v>310</v>
      </c>
      <c r="G126" s="52" t="s">
        <v>310</v>
      </c>
      <c r="H126" s="52" t="s">
        <v>310</v>
      </c>
      <c r="I126" s="52" t="s">
        <v>310</v>
      </c>
      <c r="J126" s="29">
        <f>SUM(J127:J130)</f>
        <v>1890.0344999999998</v>
      </c>
      <c r="K126" s="29">
        <f>SUM(K127:K130)</f>
        <v>1770.2355</v>
      </c>
      <c r="L126" s="29">
        <f>SUM(L127:L130)</f>
        <v>3660.27</v>
      </c>
      <c r="M126" s="29">
        <f>SUM(M127:M130)</f>
        <v>4428.9267</v>
      </c>
      <c r="N126" s="37" t="s">
        <v>224</v>
      </c>
      <c r="O126" s="29">
        <f>SUM(O127:O130)</f>
        <v>0.045492000000000005</v>
      </c>
      <c r="P126" s="53" t="s">
        <v>224</v>
      </c>
      <c r="AI126" s="37" t="s">
        <v>224</v>
      </c>
      <c r="AS126" s="29">
        <f>SUM(AJ127:AJ130)</f>
        <v>0</v>
      </c>
      <c r="AT126" s="29">
        <f>SUM(AK127:AK130)</f>
        <v>0</v>
      </c>
      <c r="AU126" s="29">
        <f>SUM(AL127:AL130)</f>
        <v>3660.27</v>
      </c>
    </row>
    <row r="127" spans="1:75" ht="15">
      <c r="A127" s="27" t="s">
        <v>194</v>
      </c>
      <c r="B127" s="12" t="s">
        <v>224</v>
      </c>
      <c r="C127" s="12" t="s">
        <v>173</v>
      </c>
      <c r="D127" s="80" t="s">
        <v>6</v>
      </c>
      <c r="E127" s="80"/>
      <c r="F127" s="12" t="s">
        <v>334</v>
      </c>
      <c r="G127" s="54">
        <v>2.55</v>
      </c>
      <c r="H127" s="54">
        <v>842</v>
      </c>
      <c r="I127" s="55" t="s">
        <v>230</v>
      </c>
      <c r="J127" s="54">
        <f>G127*AO127</f>
        <v>376.8644999999998</v>
      </c>
      <c r="K127" s="54">
        <f>G127*AP127</f>
        <v>1770.2355</v>
      </c>
      <c r="L127" s="54">
        <f>G127*H127</f>
        <v>2147.1</v>
      </c>
      <c r="M127" s="54">
        <f>L127*(1+BW127/100)</f>
        <v>2597.991</v>
      </c>
      <c r="N127" s="54">
        <v>0.00524</v>
      </c>
      <c r="O127" s="54">
        <f>G127*N127</f>
        <v>0.013361999999999999</v>
      </c>
      <c r="P127" s="56" t="s">
        <v>157</v>
      </c>
      <c r="Z127" s="54">
        <f>IF(AQ127="5",BJ127,0)</f>
        <v>0</v>
      </c>
      <c r="AB127" s="54">
        <f>IF(AQ127="1",BH127,0)</f>
        <v>0</v>
      </c>
      <c r="AC127" s="54">
        <f>IF(AQ127="1",BI127,0)</f>
        <v>0</v>
      </c>
      <c r="AD127" s="54">
        <f>IF(AQ127="7",BH127,0)</f>
        <v>376.8644999999998</v>
      </c>
      <c r="AE127" s="54">
        <f>IF(AQ127="7",BI127,0)</f>
        <v>1770.2355</v>
      </c>
      <c r="AF127" s="54">
        <f>IF(AQ127="2",BH127,0)</f>
        <v>0</v>
      </c>
      <c r="AG127" s="54">
        <f>IF(AQ127="2",BI127,0)</f>
        <v>0</v>
      </c>
      <c r="AH127" s="54">
        <f>IF(AQ127="0",BJ127,0)</f>
        <v>0</v>
      </c>
      <c r="AI127" s="37" t="s">
        <v>224</v>
      </c>
      <c r="AJ127" s="54">
        <f>IF(AN127=0,L127,0)</f>
        <v>0</v>
      </c>
      <c r="AK127" s="54">
        <f>IF(AN127=12,L127,0)</f>
        <v>0</v>
      </c>
      <c r="AL127" s="54">
        <f>IF(AN127=21,L127,0)</f>
        <v>2147.1</v>
      </c>
      <c r="AN127" s="54">
        <v>21</v>
      </c>
      <c r="AO127" s="54">
        <f>H127*0.175522565320665</f>
        <v>147.78999999999994</v>
      </c>
      <c r="AP127" s="54">
        <f>H127*(1-0.175522565320665)</f>
        <v>694.21</v>
      </c>
      <c r="AQ127" s="55" t="s">
        <v>340</v>
      </c>
      <c r="AV127" s="54">
        <f>AW127+AX127</f>
        <v>2147.1</v>
      </c>
      <c r="AW127" s="54">
        <f>G127*AO127</f>
        <v>376.8644999999998</v>
      </c>
      <c r="AX127" s="54">
        <f>G127*AP127</f>
        <v>1770.2355</v>
      </c>
      <c r="AY127" s="55" t="s">
        <v>158</v>
      </c>
      <c r="AZ127" s="55" t="s">
        <v>68</v>
      </c>
      <c r="BA127" s="37" t="s">
        <v>251</v>
      </c>
      <c r="BC127" s="54">
        <f>AW127+AX127</f>
        <v>2147.1</v>
      </c>
      <c r="BD127" s="54">
        <f>H127/(100-BE127)*100</f>
        <v>842</v>
      </c>
      <c r="BE127" s="54">
        <v>0</v>
      </c>
      <c r="BF127" s="54">
        <f>O127</f>
        <v>0.013361999999999999</v>
      </c>
      <c r="BH127" s="54">
        <f>G127*AO127</f>
        <v>376.8644999999998</v>
      </c>
      <c r="BI127" s="54">
        <f>G127*AP127</f>
        <v>1770.2355</v>
      </c>
      <c r="BJ127" s="54">
        <f>G127*H127</f>
        <v>2147.1</v>
      </c>
      <c r="BK127" s="54"/>
      <c r="BL127" s="54">
        <v>781</v>
      </c>
      <c r="BW127" s="54" t="str">
        <f>I127</f>
        <v>21</v>
      </c>
    </row>
    <row r="128" spans="1:16" ht="15">
      <c r="A128" s="57"/>
      <c r="D128" s="135" t="s">
        <v>387</v>
      </c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6"/>
    </row>
    <row r="129" spans="1:16" ht="15">
      <c r="A129" s="57"/>
      <c r="D129" s="58" t="s">
        <v>75</v>
      </c>
      <c r="E129" s="59" t="s">
        <v>69</v>
      </c>
      <c r="G129" s="60">
        <v>2.5500000000000003</v>
      </c>
      <c r="P129" s="61"/>
    </row>
    <row r="130" spans="1:75" ht="15">
      <c r="A130" s="62" t="s">
        <v>287</v>
      </c>
      <c r="B130" s="15" t="s">
        <v>224</v>
      </c>
      <c r="C130" s="15" t="s">
        <v>295</v>
      </c>
      <c r="D130" s="137" t="s">
        <v>254</v>
      </c>
      <c r="E130" s="137"/>
      <c r="F130" s="15" t="s">
        <v>334</v>
      </c>
      <c r="G130" s="63">
        <v>3.06</v>
      </c>
      <c r="H130" s="63">
        <v>494.5</v>
      </c>
      <c r="I130" s="64" t="s">
        <v>230</v>
      </c>
      <c r="J130" s="63">
        <f>G130*AO130</f>
        <v>1513.17</v>
      </c>
      <c r="K130" s="63">
        <f>G130*AP130</f>
        <v>0</v>
      </c>
      <c r="L130" s="63">
        <f>G130*H130</f>
        <v>1513.17</v>
      </c>
      <c r="M130" s="63">
        <f>L130*(1+BW130/100)</f>
        <v>1830.9357</v>
      </c>
      <c r="N130" s="63">
        <v>0.0105</v>
      </c>
      <c r="O130" s="63">
        <f>G130*N130</f>
        <v>0.032130000000000006</v>
      </c>
      <c r="P130" s="65" t="s">
        <v>157</v>
      </c>
      <c r="Z130" s="54">
        <f>IF(AQ130="5",BJ130,0)</f>
        <v>0</v>
      </c>
      <c r="AB130" s="54">
        <f>IF(AQ130="1",BH130,0)</f>
        <v>0</v>
      </c>
      <c r="AC130" s="54">
        <f>IF(AQ130="1",BI130,0)</f>
        <v>0</v>
      </c>
      <c r="AD130" s="54">
        <f>IF(AQ130="7",BH130,0)</f>
        <v>1513.17</v>
      </c>
      <c r="AE130" s="54">
        <f>IF(AQ130="7",BI130,0)</f>
        <v>0</v>
      </c>
      <c r="AF130" s="54">
        <f>IF(AQ130="2",BH130,0)</f>
        <v>0</v>
      </c>
      <c r="AG130" s="54">
        <f>IF(AQ130="2",BI130,0)</f>
        <v>0</v>
      </c>
      <c r="AH130" s="54">
        <f>IF(AQ130="0",BJ130,0)</f>
        <v>0</v>
      </c>
      <c r="AI130" s="37" t="s">
        <v>224</v>
      </c>
      <c r="AJ130" s="63">
        <f>IF(AN130=0,L130,0)</f>
        <v>0</v>
      </c>
      <c r="AK130" s="63">
        <f>IF(AN130=12,L130,0)</f>
        <v>0</v>
      </c>
      <c r="AL130" s="63">
        <f>IF(AN130=21,L130,0)</f>
        <v>1513.17</v>
      </c>
      <c r="AN130" s="54">
        <v>21</v>
      </c>
      <c r="AO130" s="54">
        <f>H130*1</f>
        <v>494.5</v>
      </c>
      <c r="AP130" s="54">
        <f>H130*(1-1)</f>
        <v>0</v>
      </c>
      <c r="AQ130" s="64" t="s">
        <v>340</v>
      </c>
      <c r="AV130" s="54">
        <f>AW130+AX130</f>
        <v>1513.17</v>
      </c>
      <c r="AW130" s="54">
        <f>G130*AO130</f>
        <v>1513.17</v>
      </c>
      <c r="AX130" s="54">
        <f>G130*AP130</f>
        <v>0</v>
      </c>
      <c r="AY130" s="55" t="s">
        <v>158</v>
      </c>
      <c r="AZ130" s="55" t="s">
        <v>68</v>
      </c>
      <c r="BA130" s="37" t="s">
        <v>251</v>
      </c>
      <c r="BC130" s="54">
        <f>AW130+AX130</f>
        <v>1513.17</v>
      </c>
      <c r="BD130" s="54">
        <f>H130/(100-BE130)*100</f>
        <v>494.5</v>
      </c>
      <c r="BE130" s="54">
        <v>0</v>
      </c>
      <c r="BF130" s="54">
        <f>O130</f>
        <v>0.032130000000000006</v>
      </c>
      <c r="BH130" s="63">
        <f>G130*AO130</f>
        <v>1513.17</v>
      </c>
      <c r="BI130" s="63">
        <f>G130*AP130</f>
        <v>0</v>
      </c>
      <c r="BJ130" s="63">
        <f>G130*H130</f>
        <v>1513.17</v>
      </c>
      <c r="BK130" s="63"/>
      <c r="BL130" s="54">
        <v>781</v>
      </c>
      <c r="BW130" s="54" t="str">
        <f>I130</f>
        <v>21</v>
      </c>
    </row>
    <row r="131" spans="1:16" ht="15">
      <c r="A131" s="57"/>
      <c r="D131" s="58" t="s">
        <v>75</v>
      </c>
      <c r="E131" s="59" t="s">
        <v>69</v>
      </c>
      <c r="G131" s="60">
        <v>2.5500000000000003</v>
      </c>
      <c r="P131" s="61"/>
    </row>
    <row r="132" spans="1:16" ht="15">
      <c r="A132" s="57"/>
      <c r="D132" s="58" t="s">
        <v>176</v>
      </c>
      <c r="E132" s="59" t="s">
        <v>224</v>
      </c>
      <c r="G132" s="60">
        <v>0.51</v>
      </c>
      <c r="P132" s="61"/>
    </row>
    <row r="133" spans="1:47" ht="15">
      <c r="A133" s="51" t="s">
        <v>224</v>
      </c>
      <c r="B133" s="7" t="s">
        <v>224</v>
      </c>
      <c r="C133" s="7" t="s">
        <v>185</v>
      </c>
      <c r="D133" s="133" t="s">
        <v>5</v>
      </c>
      <c r="E133" s="133"/>
      <c r="F133" s="52" t="s">
        <v>310</v>
      </c>
      <c r="G133" s="52" t="s">
        <v>310</v>
      </c>
      <c r="H133" s="52" t="s">
        <v>310</v>
      </c>
      <c r="I133" s="52" t="s">
        <v>310</v>
      </c>
      <c r="J133" s="29">
        <f>SUM(J134:J147)</f>
        <v>11744.578558186227</v>
      </c>
      <c r="K133" s="29">
        <f>SUM(K134:K147)</f>
        <v>25378.793441813774</v>
      </c>
      <c r="L133" s="29">
        <f>SUM(L134:L147)</f>
        <v>37123.372</v>
      </c>
      <c r="M133" s="29">
        <f>SUM(M134:M147)</f>
        <v>44919.280119999996</v>
      </c>
      <c r="N133" s="37" t="s">
        <v>224</v>
      </c>
      <c r="O133" s="29">
        <f>SUM(O134:O147)</f>
        <v>0.2245692</v>
      </c>
      <c r="P133" s="53" t="s">
        <v>224</v>
      </c>
      <c r="AI133" s="37" t="s">
        <v>224</v>
      </c>
      <c r="AS133" s="29">
        <f>SUM(AJ134:AJ147)</f>
        <v>0</v>
      </c>
      <c r="AT133" s="29">
        <f>SUM(AK134:AK147)</f>
        <v>0</v>
      </c>
      <c r="AU133" s="29">
        <f>SUM(AL134:AL147)</f>
        <v>37123.372</v>
      </c>
    </row>
    <row r="134" spans="1:75" ht="15">
      <c r="A134" s="27" t="s">
        <v>66</v>
      </c>
      <c r="B134" s="12" t="s">
        <v>224</v>
      </c>
      <c r="C134" s="12" t="s">
        <v>168</v>
      </c>
      <c r="D134" s="80" t="s">
        <v>94</v>
      </c>
      <c r="E134" s="80"/>
      <c r="F134" s="12" t="s">
        <v>334</v>
      </c>
      <c r="G134" s="54">
        <v>500</v>
      </c>
      <c r="H134" s="54">
        <v>21.2</v>
      </c>
      <c r="I134" s="55" t="s">
        <v>230</v>
      </c>
      <c r="J134" s="54">
        <f>G134*AO134</f>
        <v>2634.9999999999964</v>
      </c>
      <c r="K134" s="54">
        <f>G134*AP134</f>
        <v>7965.000000000003</v>
      </c>
      <c r="L134" s="54">
        <f>G134*H134</f>
        <v>10600</v>
      </c>
      <c r="M134" s="54">
        <f>L134*(1+BW134/100)</f>
        <v>12826</v>
      </c>
      <c r="N134" s="54">
        <v>2E-05</v>
      </c>
      <c r="O134" s="54">
        <f>G134*N134</f>
        <v>0.01</v>
      </c>
      <c r="P134" s="56" t="s">
        <v>157</v>
      </c>
      <c r="Z134" s="54">
        <f>IF(AQ134="5",BJ134,0)</f>
        <v>0</v>
      </c>
      <c r="AB134" s="54">
        <f>IF(AQ134="1",BH134,0)</f>
        <v>0</v>
      </c>
      <c r="AC134" s="54">
        <f>IF(AQ134="1",BI134,0)</f>
        <v>0</v>
      </c>
      <c r="AD134" s="54">
        <f>IF(AQ134="7",BH134,0)</f>
        <v>2634.9999999999964</v>
      </c>
      <c r="AE134" s="54">
        <f>IF(AQ134="7",BI134,0)</f>
        <v>7965.000000000003</v>
      </c>
      <c r="AF134" s="54">
        <f>IF(AQ134="2",BH134,0)</f>
        <v>0</v>
      </c>
      <c r="AG134" s="54">
        <f>IF(AQ134="2",BI134,0)</f>
        <v>0</v>
      </c>
      <c r="AH134" s="54">
        <f>IF(AQ134="0",BJ134,0)</f>
        <v>0</v>
      </c>
      <c r="AI134" s="37" t="s">
        <v>224</v>
      </c>
      <c r="AJ134" s="54">
        <f>IF(AN134=0,L134,0)</f>
        <v>0</v>
      </c>
      <c r="AK134" s="54">
        <f>IF(AN134=12,L134,0)</f>
        <v>0</v>
      </c>
      <c r="AL134" s="54">
        <f>IF(AN134=21,L134,0)</f>
        <v>10600</v>
      </c>
      <c r="AN134" s="54">
        <v>21</v>
      </c>
      <c r="AO134" s="54">
        <f>H134*0.248584905660377</f>
        <v>5.2699999999999925</v>
      </c>
      <c r="AP134" s="54">
        <f>H134*(1-0.248584905660377)</f>
        <v>15.930000000000005</v>
      </c>
      <c r="AQ134" s="55" t="s">
        <v>340</v>
      </c>
      <c r="AV134" s="54">
        <f>AW134+AX134</f>
        <v>10600</v>
      </c>
      <c r="AW134" s="54">
        <f>G134*AO134</f>
        <v>2634.9999999999964</v>
      </c>
      <c r="AX134" s="54">
        <f>G134*AP134</f>
        <v>7965.000000000003</v>
      </c>
      <c r="AY134" s="55" t="s">
        <v>304</v>
      </c>
      <c r="AZ134" s="55" t="s">
        <v>68</v>
      </c>
      <c r="BA134" s="37" t="s">
        <v>251</v>
      </c>
      <c r="BC134" s="54">
        <f>AW134+AX134</f>
        <v>10600</v>
      </c>
      <c r="BD134" s="54">
        <f>H134/(100-BE134)*100</f>
        <v>21.2</v>
      </c>
      <c r="BE134" s="54">
        <v>0</v>
      </c>
      <c r="BF134" s="54">
        <f>O134</f>
        <v>0.01</v>
      </c>
      <c r="BH134" s="54">
        <f>G134*AO134</f>
        <v>2634.9999999999964</v>
      </c>
      <c r="BI134" s="54">
        <f>G134*AP134</f>
        <v>7965.000000000003</v>
      </c>
      <c r="BJ134" s="54">
        <f>G134*H134</f>
        <v>10600</v>
      </c>
      <c r="BK134" s="54"/>
      <c r="BL134" s="54">
        <v>784</v>
      </c>
      <c r="BW134" s="54" t="str">
        <f>I134</f>
        <v>21</v>
      </c>
    </row>
    <row r="135" spans="1:16" ht="15">
      <c r="A135" s="57"/>
      <c r="D135" s="135" t="s">
        <v>85</v>
      </c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6"/>
    </row>
    <row r="136" spans="1:16" ht="15">
      <c r="A136" s="57"/>
      <c r="D136" s="58" t="s">
        <v>291</v>
      </c>
      <c r="E136" s="59" t="s">
        <v>70</v>
      </c>
      <c r="G136" s="60">
        <v>300</v>
      </c>
      <c r="P136" s="61"/>
    </row>
    <row r="137" spans="1:16" ht="15">
      <c r="A137" s="57"/>
      <c r="D137" s="58" t="s">
        <v>112</v>
      </c>
      <c r="E137" s="59" t="s">
        <v>26</v>
      </c>
      <c r="G137" s="60">
        <v>200.00000000000003</v>
      </c>
      <c r="P137" s="61"/>
    </row>
    <row r="138" spans="1:75" ht="15">
      <c r="A138" s="27" t="s">
        <v>370</v>
      </c>
      <c r="B138" s="12" t="s">
        <v>224</v>
      </c>
      <c r="C138" s="12" t="s">
        <v>253</v>
      </c>
      <c r="D138" s="80" t="s">
        <v>169</v>
      </c>
      <c r="E138" s="80"/>
      <c r="F138" s="12" t="s">
        <v>334</v>
      </c>
      <c r="G138" s="54">
        <v>500</v>
      </c>
      <c r="H138" s="54">
        <v>20.6</v>
      </c>
      <c r="I138" s="55" t="s">
        <v>230</v>
      </c>
      <c r="J138" s="54">
        <f>G138*AO138</f>
        <v>6615.000000000002</v>
      </c>
      <c r="K138" s="54">
        <f>G138*AP138</f>
        <v>3684.999999999999</v>
      </c>
      <c r="L138" s="54">
        <f>G138*H138</f>
        <v>10300</v>
      </c>
      <c r="M138" s="54">
        <f>L138*(1+BW138/100)</f>
        <v>12463</v>
      </c>
      <c r="N138" s="54">
        <v>0.00035</v>
      </c>
      <c r="O138" s="54">
        <f>G138*N138</f>
        <v>0.175</v>
      </c>
      <c r="P138" s="56" t="s">
        <v>157</v>
      </c>
      <c r="Z138" s="54">
        <f>IF(AQ138="5",BJ138,0)</f>
        <v>0</v>
      </c>
      <c r="AB138" s="54">
        <f>IF(AQ138="1",BH138,0)</f>
        <v>0</v>
      </c>
      <c r="AC138" s="54">
        <f>IF(AQ138="1",BI138,0)</f>
        <v>0</v>
      </c>
      <c r="AD138" s="54">
        <f>IF(AQ138="7",BH138,0)</f>
        <v>6615.000000000002</v>
      </c>
      <c r="AE138" s="54">
        <f>IF(AQ138="7",BI138,0)</f>
        <v>3684.999999999999</v>
      </c>
      <c r="AF138" s="54">
        <f>IF(AQ138="2",BH138,0)</f>
        <v>0</v>
      </c>
      <c r="AG138" s="54">
        <f>IF(AQ138="2",BI138,0)</f>
        <v>0</v>
      </c>
      <c r="AH138" s="54">
        <f>IF(AQ138="0",BJ138,0)</f>
        <v>0</v>
      </c>
      <c r="AI138" s="37" t="s">
        <v>224</v>
      </c>
      <c r="AJ138" s="54">
        <f>IF(AN138=0,L138,0)</f>
        <v>0</v>
      </c>
      <c r="AK138" s="54">
        <f>IF(AN138=12,L138,0)</f>
        <v>0</v>
      </c>
      <c r="AL138" s="54">
        <f>IF(AN138=21,L138,0)</f>
        <v>10300</v>
      </c>
      <c r="AN138" s="54">
        <v>21</v>
      </c>
      <c r="AO138" s="54">
        <f>H138*0.642233009708738</f>
        <v>13.230000000000004</v>
      </c>
      <c r="AP138" s="54">
        <f>H138*(1-0.642233009708738)</f>
        <v>7.369999999999998</v>
      </c>
      <c r="AQ138" s="55" t="s">
        <v>340</v>
      </c>
      <c r="AV138" s="54">
        <f>AW138+AX138</f>
        <v>10300</v>
      </c>
      <c r="AW138" s="54">
        <f>G138*AO138</f>
        <v>6615.000000000002</v>
      </c>
      <c r="AX138" s="54">
        <f>G138*AP138</f>
        <v>3684.999999999999</v>
      </c>
      <c r="AY138" s="55" t="s">
        <v>304</v>
      </c>
      <c r="AZ138" s="55" t="s">
        <v>68</v>
      </c>
      <c r="BA138" s="37" t="s">
        <v>251</v>
      </c>
      <c r="BC138" s="54">
        <f>AW138+AX138</f>
        <v>10300</v>
      </c>
      <c r="BD138" s="54">
        <f>H138/(100-BE138)*100</f>
        <v>20.6</v>
      </c>
      <c r="BE138" s="54">
        <v>0</v>
      </c>
      <c r="BF138" s="54">
        <f>O138</f>
        <v>0.175</v>
      </c>
      <c r="BH138" s="54">
        <f>G138*AO138</f>
        <v>6615.000000000002</v>
      </c>
      <c r="BI138" s="54">
        <f>G138*AP138</f>
        <v>3684.999999999999</v>
      </c>
      <c r="BJ138" s="54">
        <f>G138*H138</f>
        <v>10300</v>
      </c>
      <c r="BK138" s="54"/>
      <c r="BL138" s="54">
        <v>784</v>
      </c>
      <c r="BW138" s="54" t="str">
        <f>I138</f>
        <v>21</v>
      </c>
    </row>
    <row r="139" spans="1:16" ht="15">
      <c r="A139" s="57"/>
      <c r="D139" s="135" t="s">
        <v>101</v>
      </c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6"/>
    </row>
    <row r="140" spans="1:16" ht="15">
      <c r="A140" s="57"/>
      <c r="D140" s="58" t="s">
        <v>291</v>
      </c>
      <c r="E140" s="59" t="s">
        <v>70</v>
      </c>
      <c r="G140" s="60">
        <v>300</v>
      </c>
      <c r="P140" s="61"/>
    </row>
    <row r="141" spans="1:16" ht="15">
      <c r="A141" s="57"/>
      <c r="D141" s="58" t="s">
        <v>112</v>
      </c>
      <c r="E141" s="59" t="s">
        <v>26</v>
      </c>
      <c r="G141" s="60">
        <v>200.00000000000003</v>
      </c>
      <c r="P141" s="61"/>
    </row>
    <row r="142" spans="1:75" ht="15">
      <c r="A142" s="27" t="s">
        <v>305</v>
      </c>
      <c r="B142" s="12" t="s">
        <v>224</v>
      </c>
      <c r="C142" s="12" t="s">
        <v>107</v>
      </c>
      <c r="D142" s="80" t="s">
        <v>379</v>
      </c>
      <c r="E142" s="80"/>
      <c r="F142" s="12" t="s">
        <v>334</v>
      </c>
      <c r="G142" s="54">
        <v>172.04</v>
      </c>
      <c r="H142" s="54">
        <v>23.9</v>
      </c>
      <c r="I142" s="55" t="s">
        <v>230</v>
      </c>
      <c r="J142" s="54">
        <f>G142*AO142</f>
        <v>961.7026644360584</v>
      </c>
      <c r="K142" s="54">
        <f>G142*AP142</f>
        <v>3150.0533355639413</v>
      </c>
      <c r="L142" s="54">
        <f>G142*H142</f>
        <v>4111.755999999999</v>
      </c>
      <c r="M142" s="54">
        <f>L142*(1+BW142/100)</f>
        <v>4975.224759999999</v>
      </c>
      <c r="N142" s="54">
        <v>7E-05</v>
      </c>
      <c r="O142" s="54">
        <f>G142*N142</f>
        <v>0.012042799999999998</v>
      </c>
      <c r="P142" s="56" t="s">
        <v>157</v>
      </c>
      <c r="Z142" s="54">
        <f>IF(AQ142="5",BJ142,0)</f>
        <v>0</v>
      </c>
      <c r="AB142" s="54">
        <f>IF(AQ142="1",BH142,0)</f>
        <v>0</v>
      </c>
      <c r="AC142" s="54">
        <f>IF(AQ142="1",BI142,0)</f>
        <v>0</v>
      </c>
      <c r="AD142" s="54">
        <f>IF(AQ142="7",BH142,0)</f>
        <v>961.7026644360584</v>
      </c>
      <c r="AE142" s="54">
        <f>IF(AQ142="7",BI142,0)</f>
        <v>3150.0533355639413</v>
      </c>
      <c r="AF142" s="54">
        <f>IF(AQ142="2",BH142,0)</f>
        <v>0</v>
      </c>
      <c r="AG142" s="54">
        <f>IF(AQ142="2",BI142,0)</f>
        <v>0</v>
      </c>
      <c r="AH142" s="54">
        <f>IF(AQ142="0",BJ142,0)</f>
        <v>0</v>
      </c>
      <c r="AI142" s="37" t="s">
        <v>224</v>
      </c>
      <c r="AJ142" s="54">
        <f>IF(AN142=0,L142,0)</f>
        <v>0</v>
      </c>
      <c r="AK142" s="54">
        <f>IF(AN142=12,L142,0)</f>
        <v>0</v>
      </c>
      <c r="AL142" s="54">
        <f>IF(AN142=21,L142,0)</f>
        <v>4111.755999999999</v>
      </c>
      <c r="AN142" s="54">
        <v>21</v>
      </c>
      <c r="AO142" s="54">
        <f>H142*0.233890985855206</f>
        <v>5.589994561939424</v>
      </c>
      <c r="AP142" s="54">
        <f>H142*(1-0.233890985855206)</f>
        <v>18.310005438060575</v>
      </c>
      <c r="AQ142" s="55" t="s">
        <v>340</v>
      </c>
      <c r="AV142" s="54">
        <f>AW142+AX142</f>
        <v>4111.755999999999</v>
      </c>
      <c r="AW142" s="54">
        <f>G142*AO142</f>
        <v>961.7026644360584</v>
      </c>
      <c r="AX142" s="54">
        <f>G142*AP142</f>
        <v>3150.0533355639413</v>
      </c>
      <c r="AY142" s="55" t="s">
        <v>304</v>
      </c>
      <c r="AZ142" s="55" t="s">
        <v>68</v>
      </c>
      <c r="BA142" s="37" t="s">
        <v>251</v>
      </c>
      <c r="BC142" s="54">
        <f>AW142+AX142</f>
        <v>4111.755999999999</v>
      </c>
      <c r="BD142" s="54">
        <f>H142/(100-BE142)*100</f>
        <v>23.9</v>
      </c>
      <c r="BE142" s="54">
        <v>0</v>
      </c>
      <c r="BF142" s="54">
        <f>O142</f>
        <v>0.012042799999999998</v>
      </c>
      <c r="BH142" s="54">
        <f>G142*AO142</f>
        <v>961.7026644360584</v>
      </c>
      <c r="BI142" s="54">
        <f>G142*AP142</f>
        <v>3150.0533355639413</v>
      </c>
      <c r="BJ142" s="54">
        <f>G142*H142</f>
        <v>4111.755999999999</v>
      </c>
      <c r="BK142" s="54"/>
      <c r="BL142" s="54">
        <v>784</v>
      </c>
      <c r="BW142" s="54" t="str">
        <f>I142</f>
        <v>21</v>
      </c>
    </row>
    <row r="143" spans="1:16" ht="15">
      <c r="A143" s="57"/>
      <c r="D143" s="58" t="s">
        <v>183</v>
      </c>
      <c r="E143" s="59" t="s">
        <v>261</v>
      </c>
      <c r="G143" s="60">
        <v>46.800000000000004</v>
      </c>
      <c r="P143" s="61"/>
    </row>
    <row r="144" spans="1:16" ht="15">
      <c r="A144" s="57"/>
      <c r="D144" s="58" t="s">
        <v>163</v>
      </c>
      <c r="E144" s="59" t="s">
        <v>71</v>
      </c>
      <c r="G144" s="60">
        <v>4.800000000000001</v>
      </c>
      <c r="P144" s="61"/>
    </row>
    <row r="145" spans="1:16" ht="15">
      <c r="A145" s="57"/>
      <c r="D145" s="58" t="s">
        <v>53</v>
      </c>
      <c r="E145" s="59" t="s">
        <v>312</v>
      </c>
      <c r="G145" s="60">
        <v>109.2</v>
      </c>
      <c r="P145" s="61"/>
    </row>
    <row r="146" spans="1:16" ht="15">
      <c r="A146" s="57"/>
      <c r="D146" s="58" t="s">
        <v>260</v>
      </c>
      <c r="E146" s="59" t="s">
        <v>202</v>
      </c>
      <c r="G146" s="60">
        <v>11.24</v>
      </c>
      <c r="P146" s="61"/>
    </row>
    <row r="147" spans="1:75" ht="15">
      <c r="A147" s="27" t="s">
        <v>191</v>
      </c>
      <c r="B147" s="12" t="s">
        <v>224</v>
      </c>
      <c r="C147" s="12" t="s">
        <v>116</v>
      </c>
      <c r="D147" s="80" t="s">
        <v>380</v>
      </c>
      <c r="E147" s="80"/>
      <c r="F147" s="12" t="s">
        <v>334</v>
      </c>
      <c r="G147" s="54">
        <v>172.04</v>
      </c>
      <c r="H147" s="54">
        <v>70.4</v>
      </c>
      <c r="I147" s="55" t="s">
        <v>230</v>
      </c>
      <c r="J147" s="54">
        <f>G147*AO147</f>
        <v>1532.875893750172</v>
      </c>
      <c r="K147" s="54">
        <f>G147*AP147</f>
        <v>10578.740106249828</v>
      </c>
      <c r="L147" s="54">
        <f>G147*H147</f>
        <v>12111.616</v>
      </c>
      <c r="M147" s="54">
        <f>L147*(1+BW147/100)</f>
        <v>14655.05536</v>
      </c>
      <c r="N147" s="54">
        <v>0.00016</v>
      </c>
      <c r="O147" s="54">
        <f>G147*N147</f>
        <v>0.0275264</v>
      </c>
      <c r="P147" s="56" t="s">
        <v>157</v>
      </c>
      <c r="Z147" s="54">
        <f>IF(AQ147="5",BJ147,0)</f>
        <v>0</v>
      </c>
      <c r="AB147" s="54">
        <f>IF(AQ147="1",BH147,0)</f>
        <v>0</v>
      </c>
      <c r="AC147" s="54">
        <f>IF(AQ147="1",BI147,0)</f>
        <v>0</v>
      </c>
      <c r="AD147" s="54">
        <f>IF(AQ147="7",BH147,0)</f>
        <v>1532.875893750172</v>
      </c>
      <c r="AE147" s="54">
        <f>IF(AQ147="7",BI147,0)</f>
        <v>10578.740106249828</v>
      </c>
      <c r="AF147" s="54">
        <f>IF(AQ147="2",BH147,0)</f>
        <v>0</v>
      </c>
      <c r="AG147" s="54">
        <f>IF(AQ147="2",BI147,0)</f>
        <v>0</v>
      </c>
      <c r="AH147" s="54">
        <f>IF(AQ147="0",BJ147,0)</f>
        <v>0</v>
      </c>
      <c r="AI147" s="37" t="s">
        <v>224</v>
      </c>
      <c r="AJ147" s="54">
        <f>IF(AN147=0,L147,0)</f>
        <v>0</v>
      </c>
      <c r="AK147" s="54">
        <f>IF(AN147=12,L147,0)</f>
        <v>0</v>
      </c>
      <c r="AL147" s="54">
        <f>IF(AN147=21,L147,0)</f>
        <v>12111.616</v>
      </c>
      <c r="AN147" s="54">
        <v>21</v>
      </c>
      <c r="AO147" s="54">
        <f>H147*0.126562458201298</f>
        <v>8.90999705737138</v>
      </c>
      <c r="AP147" s="54">
        <f>H147*(1-0.126562458201298)</f>
        <v>61.49000294262863</v>
      </c>
      <c r="AQ147" s="55" t="s">
        <v>340</v>
      </c>
      <c r="AV147" s="54">
        <f>AW147+AX147</f>
        <v>12111.616</v>
      </c>
      <c r="AW147" s="54">
        <f>G147*AO147</f>
        <v>1532.875893750172</v>
      </c>
      <c r="AX147" s="54">
        <f>G147*AP147</f>
        <v>10578.740106249828</v>
      </c>
      <c r="AY147" s="55" t="s">
        <v>304</v>
      </c>
      <c r="AZ147" s="55" t="s">
        <v>68</v>
      </c>
      <c r="BA147" s="37" t="s">
        <v>251</v>
      </c>
      <c r="BC147" s="54">
        <f>AW147+AX147</f>
        <v>12111.616</v>
      </c>
      <c r="BD147" s="54">
        <f>H147/(100-BE147)*100</f>
        <v>70.4</v>
      </c>
      <c r="BE147" s="54">
        <v>0</v>
      </c>
      <c r="BF147" s="54">
        <f>O147</f>
        <v>0.0275264</v>
      </c>
      <c r="BH147" s="54">
        <f>G147*AO147</f>
        <v>1532.875893750172</v>
      </c>
      <c r="BI147" s="54">
        <f>G147*AP147</f>
        <v>10578.740106249828</v>
      </c>
      <c r="BJ147" s="54">
        <f>G147*H147</f>
        <v>12111.616</v>
      </c>
      <c r="BK147" s="54"/>
      <c r="BL147" s="54">
        <v>784</v>
      </c>
      <c r="BW147" s="54" t="str">
        <f>I147</f>
        <v>21</v>
      </c>
    </row>
    <row r="148" spans="1:16" ht="15">
      <c r="A148" s="57"/>
      <c r="D148" s="58" t="s">
        <v>183</v>
      </c>
      <c r="E148" s="59" t="s">
        <v>261</v>
      </c>
      <c r="G148" s="60">
        <v>46.800000000000004</v>
      </c>
      <c r="P148" s="61"/>
    </row>
    <row r="149" spans="1:16" ht="15">
      <c r="A149" s="57"/>
      <c r="D149" s="58" t="s">
        <v>163</v>
      </c>
      <c r="E149" s="59" t="s">
        <v>71</v>
      </c>
      <c r="G149" s="60">
        <v>4.800000000000001</v>
      </c>
      <c r="P149" s="61"/>
    </row>
    <row r="150" spans="1:16" ht="15">
      <c r="A150" s="57"/>
      <c r="D150" s="58" t="s">
        <v>53</v>
      </c>
      <c r="E150" s="59" t="s">
        <v>312</v>
      </c>
      <c r="G150" s="60">
        <v>109.2</v>
      </c>
      <c r="P150" s="61"/>
    </row>
    <row r="151" spans="1:16" ht="15">
      <c r="A151" s="57"/>
      <c r="D151" s="58" t="s">
        <v>260</v>
      </c>
      <c r="E151" s="59" t="s">
        <v>202</v>
      </c>
      <c r="G151" s="60">
        <v>11.24</v>
      </c>
      <c r="P151" s="61"/>
    </row>
    <row r="152" spans="1:47" ht="15">
      <c r="A152" s="51" t="s">
        <v>224</v>
      </c>
      <c r="B152" s="7" t="s">
        <v>224</v>
      </c>
      <c r="C152" s="7" t="s">
        <v>137</v>
      </c>
      <c r="D152" s="133" t="s">
        <v>244</v>
      </c>
      <c r="E152" s="133"/>
      <c r="F152" s="52" t="s">
        <v>310</v>
      </c>
      <c r="G152" s="52" t="s">
        <v>310</v>
      </c>
      <c r="H152" s="52" t="s">
        <v>310</v>
      </c>
      <c r="I152" s="52" t="s">
        <v>310</v>
      </c>
      <c r="J152" s="29">
        <f>SUM(J153:J153)</f>
        <v>965.0000000000006</v>
      </c>
      <c r="K152" s="29">
        <f>SUM(K153:K153)</f>
        <v>68530</v>
      </c>
      <c r="L152" s="29">
        <f>SUM(L153:L153)</f>
        <v>69495</v>
      </c>
      <c r="M152" s="29">
        <f>SUM(M153:M153)</f>
        <v>84088.95</v>
      </c>
      <c r="N152" s="37" t="s">
        <v>224</v>
      </c>
      <c r="O152" s="29">
        <f>SUM(O153:O153)</f>
        <v>0.02</v>
      </c>
      <c r="P152" s="53" t="s">
        <v>224</v>
      </c>
      <c r="AI152" s="37" t="s">
        <v>224</v>
      </c>
      <c r="AS152" s="29">
        <f>SUM(AJ153:AJ153)</f>
        <v>0</v>
      </c>
      <c r="AT152" s="29">
        <f>SUM(AK153:AK153)</f>
        <v>0</v>
      </c>
      <c r="AU152" s="29">
        <f>SUM(AL153:AL153)</f>
        <v>69495</v>
      </c>
    </row>
    <row r="153" spans="1:75" ht="15">
      <c r="A153" s="27" t="s">
        <v>333</v>
      </c>
      <c r="B153" s="12" t="s">
        <v>224</v>
      </c>
      <c r="C153" s="12" t="s">
        <v>302</v>
      </c>
      <c r="D153" s="80" t="s">
        <v>102</v>
      </c>
      <c r="E153" s="80"/>
      <c r="F153" s="12" t="s">
        <v>334</v>
      </c>
      <c r="G153" s="54">
        <v>500</v>
      </c>
      <c r="H153" s="54">
        <v>138.99</v>
      </c>
      <c r="I153" s="55" t="s">
        <v>230</v>
      </c>
      <c r="J153" s="54">
        <f>G153*AO153</f>
        <v>965.0000000000006</v>
      </c>
      <c r="K153" s="54">
        <f>G153*AP153</f>
        <v>68530</v>
      </c>
      <c r="L153" s="54">
        <f>G153*H153</f>
        <v>69495</v>
      </c>
      <c r="M153" s="54">
        <f>L153*(1+BW153/100)</f>
        <v>84088.95</v>
      </c>
      <c r="N153" s="54">
        <v>4E-05</v>
      </c>
      <c r="O153" s="54">
        <f>G153*N153</f>
        <v>0.02</v>
      </c>
      <c r="P153" s="56" t="s">
        <v>157</v>
      </c>
      <c r="Z153" s="54">
        <f>IF(AQ153="5",BJ153,0)</f>
        <v>0</v>
      </c>
      <c r="AB153" s="54">
        <f>IF(AQ153="1",BH153,0)</f>
        <v>965.0000000000006</v>
      </c>
      <c r="AC153" s="54">
        <f>IF(AQ153="1",BI153,0)</f>
        <v>68530</v>
      </c>
      <c r="AD153" s="54">
        <f>IF(AQ153="7",BH153,0)</f>
        <v>0</v>
      </c>
      <c r="AE153" s="54">
        <f>IF(AQ153="7",BI153,0)</f>
        <v>0</v>
      </c>
      <c r="AF153" s="54">
        <f>IF(AQ153="2",BH153,0)</f>
        <v>0</v>
      </c>
      <c r="AG153" s="54">
        <f>IF(AQ153="2",BI153,0)</f>
        <v>0</v>
      </c>
      <c r="AH153" s="54">
        <f>IF(AQ153="0",BJ153,0)</f>
        <v>0</v>
      </c>
      <c r="AI153" s="37" t="s">
        <v>224</v>
      </c>
      <c r="AJ153" s="54">
        <f>IF(AN153=0,L153,0)</f>
        <v>0</v>
      </c>
      <c r="AK153" s="54">
        <f>IF(AN153=12,L153,0)</f>
        <v>0</v>
      </c>
      <c r="AL153" s="54">
        <f>IF(AN153=21,L153,0)</f>
        <v>69495</v>
      </c>
      <c r="AN153" s="54">
        <v>21</v>
      </c>
      <c r="AO153" s="54">
        <f>H153*0.0138858910713001</f>
        <v>1.930000000000001</v>
      </c>
      <c r="AP153" s="54">
        <f>H153*(1-0.0138858910713001)</f>
        <v>137.06</v>
      </c>
      <c r="AQ153" s="55" t="s">
        <v>338</v>
      </c>
      <c r="AV153" s="54">
        <f>AW153+AX153</f>
        <v>69495</v>
      </c>
      <c r="AW153" s="54">
        <f>G153*AO153</f>
        <v>965.0000000000006</v>
      </c>
      <c r="AX153" s="54">
        <f>G153*AP153</f>
        <v>68530</v>
      </c>
      <c r="AY153" s="55" t="s">
        <v>200</v>
      </c>
      <c r="AZ153" s="55" t="s">
        <v>3</v>
      </c>
      <c r="BA153" s="37" t="s">
        <v>251</v>
      </c>
      <c r="BC153" s="54">
        <f>AW153+AX153</f>
        <v>69495</v>
      </c>
      <c r="BD153" s="54">
        <f>H153/(100-BE153)*100</f>
        <v>138.99</v>
      </c>
      <c r="BE153" s="54">
        <v>0</v>
      </c>
      <c r="BF153" s="54">
        <f>O153</f>
        <v>0.02</v>
      </c>
      <c r="BH153" s="54">
        <f>G153*AO153</f>
        <v>965.0000000000006</v>
      </c>
      <c r="BI153" s="54">
        <f>G153*AP153</f>
        <v>68530</v>
      </c>
      <c r="BJ153" s="54">
        <f>G153*H153</f>
        <v>69495</v>
      </c>
      <c r="BK153" s="54"/>
      <c r="BL153" s="54">
        <v>95</v>
      </c>
      <c r="BW153" s="54" t="str">
        <f>I153</f>
        <v>21</v>
      </c>
    </row>
    <row r="154" spans="1:16" ht="15">
      <c r="A154" s="57"/>
      <c r="D154" s="58" t="s">
        <v>291</v>
      </c>
      <c r="E154" s="59" t="s">
        <v>70</v>
      </c>
      <c r="G154" s="60">
        <v>300</v>
      </c>
      <c r="P154" s="61"/>
    </row>
    <row r="155" spans="1:16" ht="15">
      <c r="A155" s="57"/>
      <c r="D155" s="58" t="s">
        <v>112</v>
      </c>
      <c r="E155" s="59" t="s">
        <v>26</v>
      </c>
      <c r="G155" s="60">
        <v>200.00000000000003</v>
      </c>
      <c r="P155" s="61"/>
    </row>
    <row r="156" spans="1:47" ht="15">
      <c r="A156" s="51" t="s">
        <v>224</v>
      </c>
      <c r="B156" s="7" t="s">
        <v>224</v>
      </c>
      <c r="C156" s="7" t="s">
        <v>187</v>
      </c>
      <c r="D156" s="133" t="s">
        <v>245</v>
      </c>
      <c r="E156" s="133"/>
      <c r="F156" s="52" t="s">
        <v>310</v>
      </c>
      <c r="G156" s="52" t="s">
        <v>310</v>
      </c>
      <c r="H156" s="52" t="s">
        <v>310</v>
      </c>
      <c r="I156" s="52" t="s">
        <v>310</v>
      </c>
      <c r="J156" s="29">
        <f>SUM(J157:J172)</f>
        <v>2146.6906701957014</v>
      </c>
      <c r="K156" s="29">
        <f>SUM(K157:K172)</f>
        <v>11600.1298298043</v>
      </c>
      <c r="L156" s="29">
        <f>SUM(L157:L172)</f>
        <v>13746.820500000002</v>
      </c>
      <c r="M156" s="29">
        <f>SUM(M157:M172)</f>
        <v>16633.652805</v>
      </c>
      <c r="N156" s="37" t="s">
        <v>224</v>
      </c>
      <c r="O156" s="29">
        <f>SUM(O157:O172)</f>
        <v>2.5843526</v>
      </c>
      <c r="P156" s="53" t="s">
        <v>224</v>
      </c>
      <c r="AI156" s="37" t="s">
        <v>224</v>
      </c>
      <c r="AS156" s="29">
        <f>SUM(AJ157:AJ172)</f>
        <v>0</v>
      </c>
      <c r="AT156" s="29">
        <f>SUM(AK157:AK172)</f>
        <v>0</v>
      </c>
      <c r="AU156" s="29">
        <f>SUM(AL157:AL172)</f>
        <v>13746.820500000002</v>
      </c>
    </row>
    <row r="157" spans="1:75" ht="15">
      <c r="A157" s="27" t="s">
        <v>196</v>
      </c>
      <c r="B157" s="12" t="s">
        <v>224</v>
      </c>
      <c r="C157" s="12" t="s">
        <v>106</v>
      </c>
      <c r="D157" s="80" t="s">
        <v>123</v>
      </c>
      <c r="E157" s="80"/>
      <c r="F157" s="12" t="s">
        <v>334</v>
      </c>
      <c r="G157" s="54">
        <v>8.97</v>
      </c>
      <c r="H157" s="54">
        <v>305.49</v>
      </c>
      <c r="I157" s="55" t="s">
        <v>230</v>
      </c>
      <c r="J157" s="54">
        <f>G157*AO157</f>
        <v>574.3481148925204</v>
      </c>
      <c r="K157" s="54">
        <f>G157*AP157</f>
        <v>2165.89718510748</v>
      </c>
      <c r="L157" s="54">
        <f>G157*H157</f>
        <v>2740.2453000000005</v>
      </c>
      <c r="M157" s="54">
        <f>L157*(1+BW157/100)</f>
        <v>3315.6968130000005</v>
      </c>
      <c r="N157" s="54">
        <v>0.04319</v>
      </c>
      <c r="O157" s="54">
        <f>G157*N157</f>
        <v>0.38741430000000004</v>
      </c>
      <c r="P157" s="56" t="s">
        <v>157</v>
      </c>
      <c r="Z157" s="54">
        <f>IF(AQ157="5",BJ157,0)</f>
        <v>0</v>
      </c>
      <c r="AB157" s="54">
        <f>IF(AQ157="1",BH157,0)</f>
        <v>574.3481148925204</v>
      </c>
      <c r="AC157" s="54">
        <f>IF(AQ157="1",BI157,0)</f>
        <v>2165.89718510748</v>
      </c>
      <c r="AD157" s="54">
        <f>IF(AQ157="7",BH157,0)</f>
        <v>0</v>
      </c>
      <c r="AE157" s="54">
        <f>IF(AQ157="7",BI157,0)</f>
        <v>0</v>
      </c>
      <c r="AF157" s="54">
        <f>IF(AQ157="2",BH157,0)</f>
        <v>0</v>
      </c>
      <c r="AG157" s="54">
        <f>IF(AQ157="2",BI157,0)</f>
        <v>0</v>
      </c>
      <c r="AH157" s="54">
        <f>IF(AQ157="0",BJ157,0)</f>
        <v>0</v>
      </c>
      <c r="AI157" s="37" t="s">
        <v>224</v>
      </c>
      <c r="AJ157" s="54">
        <f>IF(AN157=0,L157,0)</f>
        <v>0</v>
      </c>
      <c r="AK157" s="54">
        <f>IF(AN157=12,L157,0)</f>
        <v>0</v>
      </c>
      <c r="AL157" s="54">
        <f>IF(AN157=21,L157,0)</f>
        <v>2740.2453000000005</v>
      </c>
      <c r="AN157" s="54">
        <v>21</v>
      </c>
      <c r="AO157" s="54">
        <f>H157*0.209597336009488</f>
        <v>64.02989017753849</v>
      </c>
      <c r="AP157" s="54">
        <f>H157*(1-0.209597336009488)</f>
        <v>241.4601098224615</v>
      </c>
      <c r="AQ157" s="55" t="s">
        <v>338</v>
      </c>
      <c r="AV157" s="54">
        <f>AW157+AX157</f>
        <v>2740.2453</v>
      </c>
      <c r="AW157" s="54">
        <f>G157*AO157</f>
        <v>574.3481148925204</v>
      </c>
      <c r="AX157" s="54">
        <f>G157*AP157</f>
        <v>2165.89718510748</v>
      </c>
      <c r="AY157" s="55" t="s">
        <v>301</v>
      </c>
      <c r="AZ157" s="55" t="s">
        <v>3</v>
      </c>
      <c r="BA157" s="37" t="s">
        <v>251</v>
      </c>
      <c r="BC157" s="54">
        <f>AW157+AX157</f>
        <v>2740.2453</v>
      </c>
      <c r="BD157" s="54">
        <f>H157/(100-BE157)*100</f>
        <v>305.49</v>
      </c>
      <c r="BE157" s="54">
        <v>0</v>
      </c>
      <c r="BF157" s="54">
        <f>O157</f>
        <v>0.38741430000000004</v>
      </c>
      <c r="BH157" s="54">
        <f>G157*AO157</f>
        <v>574.3481148925204</v>
      </c>
      <c r="BI157" s="54">
        <f>G157*AP157</f>
        <v>2165.89718510748</v>
      </c>
      <c r="BJ157" s="54">
        <f>G157*H157</f>
        <v>2740.2453000000005</v>
      </c>
      <c r="BK157" s="54"/>
      <c r="BL157" s="54">
        <v>96</v>
      </c>
      <c r="BW157" s="54" t="str">
        <f>I157</f>
        <v>21</v>
      </c>
    </row>
    <row r="158" spans="1:16" ht="15">
      <c r="A158" s="57"/>
      <c r="D158" s="58" t="s">
        <v>198</v>
      </c>
      <c r="E158" s="59" t="s">
        <v>261</v>
      </c>
      <c r="G158" s="60">
        <v>8.97</v>
      </c>
      <c r="P158" s="61"/>
    </row>
    <row r="159" spans="1:75" ht="15">
      <c r="A159" s="27" t="s">
        <v>207</v>
      </c>
      <c r="B159" s="12" t="s">
        <v>224</v>
      </c>
      <c r="C159" s="12" t="s">
        <v>8</v>
      </c>
      <c r="D159" s="80" t="s">
        <v>357</v>
      </c>
      <c r="E159" s="80"/>
      <c r="F159" s="12" t="s">
        <v>334</v>
      </c>
      <c r="G159" s="54">
        <v>1.44</v>
      </c>
      <c r="H159" s="54">
        <v>181.01</v>
      </c>
      <c r="I159" s="55" t="s">
        <v>230</v>
      </c>
      <c r="J159" s="54">
        <f>G159*AO159</f>
        <v>42.063110050105436</v>
      </c>
      <c r="K159" s="54">
        <f>G159*AP159</f>
        <v>218.59128994989453</v>
      </c>
      <c r="L159" s="54">
        <f>G159*H159</f>
        <v>260.65439999999995</v>
      </c>
      <c r="M159" s="54">
        <f>L159*(1+BW159/100)</f>
        <v>315.39182399999993</v>
      </c>
      <c r="N159" s="54">
        <v>0.032</v>
      </c>
      <c r="O159" s="54">
        <f>G159*N159</f>
        <v>0.046079999999999996</v>
      </c>
      <c r="P159" s="56" t="s">
        <v>157</v>
      </c>
      <c r="Z159" s="54">
        <f>IF(AQ159="5",BJ159,0)</f>
        <v>0</v>
      </c>
      <c r="AB159" s="54">
        <f>IF(AQ159="1",BH159,0)</f>
        <v>42.063110050105436</v>
      </c>
      <c r="AC159" s="54">
        <f>IF(AQ159="1",BI159,0)</f>
        <v>218.59128994989453</v>
      </c>
      <c r="AD159" s="54">
        <f>IF(AQ159="7",BH159,0)</f>
        <v>0</v>
      </c>
      <c r="AE159" s="54">
        <f>IF(AQ159="7",BI159,0)</f>
        <v>0</v>
      </c>
      <c r="AF159" s="54">
        <f>IF(AQ159="2",BH159,0)</f>
        <v>0</v>
      </c>
      <c r="AG159" s="54">
        <f>IF(AQ159="2",BI159,0)</f>
        <v>0</v>
      </c>
      <c r="AH159" s="54">
        <f>IF(AQ159="0",BJ159,0)</f>
        <v>0</v>
      </c>
      <c r="AI159" s="37" t="s">
        <v>224</v>
      </c>
      <c r="AJ159" s="54">
        <f>IF(AN159=0,L159,0)</f>
        <v>0</v>
      </c>
      <c r="AK159" s="54">
        <f>IF(AN159=12,L159,0)</f>
        <v>0</v>
      </c>
      <c r="AL159" s="54">
        <f>IF(AN159=21,L159,0)</f>
        <v>260.65439999999995</v>
      </c>
      <c r="AN159" s="54">
        <v>21</v>
      </c>
      <c r="AO159" s="54">
        <f>H159*0.161375023978515</f>
        <v>29.210493090350997</v>
      </c>
      <c r="AP159" s="54">
        <f>H159*(1-0.161375023978515)</f>
        <v>151.79950690964898</v>
      </c>
      <c r="AQ159" s="55" t="s">
        <v>338</v>
      </c>
      <c r="AV159" s="54">
        <f>AW159+AX159</f>
        <v>260.65439999999995</v>
      </c>
      <c r="AW159" s="54">
        <f>G159*AO159</f>
        <v>42.063110050105436</v>
      </c>
      <c r="AX159" s="54">
        <f>G159*AP159</f>
        <v>218.59128994989453</v>
      </c>
      <c r="AY159" s="55" t="s">
        <v>301</v>
      </c>
      <c r="AZ159" s="55" t="s">
        <v>3</v>
      </c>
      <c r="BA159" s="37" t="s">
        <v>251</v>
      </c>
      <c r="BC159" s="54">
        <f>AW159+AX159</f>
        <v>260.65439999999995</v>
      </c>
      <c r="BD159" s="54">
        <f>H159/(100-BE159)*100</f>
        <v>181.01</v>
      </c>
      <c r="BE159" s="54">
        <v>0</v>
      </c>
      <c r="BF159" s="54">
        <f>O159</f>
        <v>0.046079999999999996</v>
      </c>
      <c r="BH159" s="54">
        <f>G159*AO159</f>
        <v>42.063110050105436</v>
      </c>
      <c r="BI159" s="54">
        <f>G159*AP159</f>
        <v>218.59128994989453</v>
      </c>
      <c r="BJ159" s="54">
        <f>G159*H159</f>
        <v>260.65439999999995</v>
      </c>
      <c r="BK159" s="54"/>
      <c r="BL159" s="54">
        <v>96</v>
      </c>
      <c r="BW159" s="54" t="str">
        <f>I159</f>
        <v>21</v>
      </c>
    </row>
    <row r="160" spans="1:16" ht="15">
      <c r="A160" s="57"/>
      <c r="D160" s="58" t="s">
        <v>82</v>
      </c>
      <c r="E160" s="59" t="s">
        <v>71</v>
      </c>
      <c r="G160" s="60">
        <v>1.4400000000000002</v>
      </c>
      <c r="P160" s="61"/>
    </row>
    <row r="161" spans="1:75" ht="15">
      <c r="A161" s="27" t="s">
        <v>121</v>
      </c>
      <c r="B161" s="12" t="s">
        <v>224</v>
      </c>
      <c r="C161" s="12" t="s">
        <v>360</v>
      </c>
      <c r="D161" s="80" t="s">
        <v>115</v>
      </c>
      <c r="E161" s="80"/>
      <c r="F161" s="12" t="s">
        <v>334</v>
      </c>
      <c r="G161" s="54">
        <v>52.92</v>
      </c>
      <c r="H161" s="54">
        <v>147.99</v>
      </c>
      <c r="I161" s="55" t="s">
        <v>230</v>
      </c>
      <c r="J161" s="54">
        <f>G161*AO161</f>
        <v>1421.9605452530757</v>
      </c>
      <c r="K161" s="54">
        <f>G161*AP161</f>
        <v>6409.670254746926</v>
      </c>
      <c r="L161" s="54">
        <f>G161*H161</f>
        <v>7831.630800000001</v>
      </c>
      <c r="M161" s="54">
        <f>L161*(1+BW161/100)</f>
        <v>9476.273268</v>
      </c>
      <c r="N161" s="54">
        <v>0.02792</v>
      </c>
      <c r="O161" s="54">
        <f>G161*N161</f>
        <v>1.4775264000000001</v>
      </c>
      <c r="P161" s="56" t="s">
        <v>157</v>
      </c>
      <c r="Z161" s="54">
        <f>IF(AQ161="5",BJ161,0)</f>
        <v>0</v>
      </c>
      <c r="AB161" s="54">
        <f>IF(AQ161="1",BH161,0)</f>
        <v>1421.9605452530757</v>
      </c>
      <c r="AC161" s="54">
        <f>IF(AQ161="1",BI161,0)</f>
        <v>6409.670254746926</v>
      </c>
      <c r="AD161" s="54">
        <f>IF(AQ161="7",BH161,0)</f>
        <v>0</v>
      </c>
      <c r="AE161" s="54">
        <f>IF(AQ161="7",BI161,0)</f>
        <v>0</v>
      </c>
      <c r="AF161" s="54">
        <f>IF(AQ161="2",BH161,0)</f>
        <v>0</v>
      </c>
      <c r="AG161" s="54">
        <f>IF(AQ161="2",BI161,0)</f>
        <v>0</v>
      </c>
      <c r="AH161" s="54">
        <f>IF(AQ161="0",BJ161,0)</f>
        <v>0</v>
      </c>
      <c r="AI161" s="37" t="s">
        <v>224</v>
      </c>
      <c r="AJ161" s="54">
        <f>IF(AN161=0,L161,0)</f>
        <v>0</v>
      </c>
      <c r="AK161" s="54">
        <f>IF(AN161=12,L161,0)</f>
        <v>0</v>
      </c>
      <c r="AL161" s="54">
        <f>IF(AN161=21,L161,0)</f>
        <v>7831.630800000001</v>
      </c>
      <c r="AN161" s="54">
        <v>21</v>
      </c>
      <c r="AO161" s="54">
        <f>H161*0.181566340595764</f>
        <v>26.870002744767113</v>
      </c>
      <c r="AP161" s="54">
        <f>H161*(1-0.181566340595764)</f>
        <v>121.1199972552329</v>
      </c>
      <c r="AQ161" s="55" t="s">
        <v>338</v>
      </c>
      <c r="AV161" s="54">
        <f>AW161+AX161</f>
        <v>7831.630800000002</v>
      </c>
      <c r="AW161" s="54">
        <f>G161*AO161</f>
        <v>1421.9605452530757</v>
      </c>
      <c r="AX161" s="54">
        <f>G161*AP161</f>
        <v>6409.670254746926</v>
      </c>
      <c r="AY161" s="55" t="s">
        <v>301</v>
      </c>
      <c r="AZ161" s="55" t="s">
        <v>3</v>
      </c>
      <c r="BA161" s="37" t="s">
        <v>251</v>
      </c>
      <c r="BC161" s="54">
        <f>AW161+AX161</f>
        <v>7831.630800000002</v>
      </c>
      <c r="BD161" s="54">
        <f>H161/(100-BE161)*100</f>
        <v>147.99</v>
      </c>
      <c r="BE161" s="54">
        <v>0</v>
      </c>
      <c r="BF161" s="54">
        <f>O161</f>
        <v>1.4775264000000001</v>
      </c>
      <c r="BH161" s="54">
        <f>G161*AO161</f>
        <v>1421.9605452530757</v>
      </c>
      <c r="BI161" s="54">
        <f>G161*AP161</f>
        <v>6409.670254746926</v>
      </c>
      <c r="BJ161" s="54">
        <f>G161*H161</f>
        <v>7831.630800000001</v>
      </c>
      <c r="BK161" s="54"/>
      <c r="BL161" s="54">
        <v>96</v>
      </c>
      <c r="BW161" s="54" t="str">
        <f>I161</f>
        <v>21</v>
      </c>
    </row>
    <row r="162" spans="1:16" ht="15">
      <c r="A162" s="57"/>
      <c r="D162" s="58" t="s">
        <v>91</v>
      </c>
      <c r="E162" s="59" t="s">
        <v>312</v>
      </c>
      <c r="G162" s="60">
        <v>52.92</v>
      </c>
      <c r="P162" s="61"/>
    </row>
    <row r="163" spans="1:75" ht="15">
      <c r="A163" s="27" t="s">
        <v>335</v>
      </c>
      <c r="B163" s="12" t="s">
        <v>224</v>
      </c>
      <c r="C163" s="12" t="s">
        <v>363</v>
      </c>
      <c r="D163" s="80" t="s">
        <v>129</v>
      </c>
      <c r="E163" s="80"/>
      <c r="F163" s="12" t="s">
        <v>334</v>
      </c>
      <c r="G163" s="54">
        <v>3.17</v>
      </c>
      <c r="H163" s="54">
        <v>287</v>
      </c>
      <c r="I163" s="55" t="s">
        <v>230</v>
      </c>
      <c r="J163" s="54">
        <f>G163*AO163</f>
        <v>108.31889999999966</v>
      </c>
      <c r="K163" s="54">
        <f>G163*AP163</f>
        <v>801.4711000000003</v>
      </c>
      <c r="L163" s="54">
        <f>G163*H163</f>
        <v>909.79</v>
      </c>
      <c r="M163" s="54">
        <f>L163*(1+BW163/100)</f>
        <v>1100.8459</v>
      </c>
      <c r="N163" s="54">
        <v>0.08917</v>
      </c>
      <c r="O163" s="54">
        <f>G163*N163</f>
        <v>0.2826689</v>
      </c>
      <c r="P163" s="56" t="s">
        <v>157</v>
      </c>
      <c r="Z163" s="54">
        <f>IF(AQ163="5",BJ163,0)</f>
        <v>0</v>
      </c>
      <c r="AB163" s="54">
        <f>IF(AQ163="1",BH163,0)</f>
        <v>108.31889999999966</v>
      </c>
      <c r="AC163" s="54">
        <f>IF(AQ163="1",BI163,0)</f>
        <v>801.4711000000003</v>
      </c>
      <c r="AD163" s="54">
        <f>IF(AQ163="7",BH163,0)</f>
        <v>0</v>
      </c>
      <c r="AE163" s="54">
        <f>IF(AQ163="7",BI163,0)</f>
        <v>0</v>
      </c>
      <c r="AF163" s="54">
        <f>IF(AQ163="2",BH163,0)</f>
        <v>0</v>
      </c>
      <c r="AG163" s="54">
        <f>IF(AQ163="2",BI163,0)</f>
        <v>0</v>
      </c>
      <c r="AH163" s="54">
        <f>IF(AQ163="0",BJ163,0)</f>
        <v>0</v>
      </c>
      <c r="AI163" s="37" t="s">
        <v>224</v>
      </c>
      <c r="AJ163" s="54">
        <f>IF(AN163=0,L163,0)</f>
        <v>0</v>
      </c>
      <c r="AK163" s="54">
        <f>IF(AN163=12,L163,0)</f>
        <v>0</v>
      </c>
      <c r="AL163" s="54">
        <f>IF(AN163=21,L163,0)</f>
        <v>909.79</v>
      </c>
      <c r="AN163" s="54">
        <v>21</v>
      </c>
      <c r="AO163" s="54">
        <f>H163*0.119059233449477</f>
        <v>34.169999999999895</v>
      </c>
      <c r="AP163" s="54">
        <f>H163*(1-0.119059233449477)</f>
        <v>252.8300000000001</v>
      </c>
      <c r="AQ163" s="55" t="s">
        <v>338</v>
      </c>
      <c r="AV163" s="54">
        <f>AW163+AX163</f>
        <v>909.79</v>
      </c>
      <c r="AW163" s="54">
        <f>G163*AO163</f>
        <v>108.31889999999966</v>
      </c>
      <c r="AX163" s="54">
        <f>G163*AP163</f>
        <v>801.4711000000003</v>
      </c>
      <c r="AY163" s="55" t="s">
        <v>301</v>
      </c>
      <c r="AZ163" s="55" t="s">
        <v>3</v>
      </c>
      <c r="BA163" s="37" t="s">
        <v>251</v>
      </c>
      <c r="BC163" s="54">
        <f>AW163+AX163</f>
        <v>909.79</v>
      </c>
      <c r="BD163" s="54">
        <f>H163/(100-BE163)*100</f>
        <v>287</v>
      </c>
      <c r="BE163" s="54">
        <v>0</v>
      </c>
      <c r="BF163" s="54">
        <f>O163</f>
        <v>0.2826689</v>
      </c>
      <c r="BH163" s="54">
        <f>G163*AO163</f>
        <v>108.31889999999966</v>
      </c>
      <c r="BI163" s="54">
        <f>G163*AP163</f>
        <v>801.4711000000003</v>
      </c>
      <c r="BJ163" s="54">
        <f>G163*H163</f>
        <v>909.79</v>
      </c>
      <c r="BK163" s="54"/>
      <c r="BL163" s="54">
        <v>96</v>
      </c>
      <c r="BW163" s="54" t="str">
        <f>I163</f>
        <v>21</v>
      </c>
    </row>
    <row r="164" spans="1:16" ht="15">
      <c r="A164" s="57"/>
      <c r="D164" s="58" t="s">
        <v>160</v>
      </c>
      <c r="E164" s="59" t="s">
        <v>202</v>
      </c>
      <c r="G164" s="60">
        <v>3.1700000000000004</v>
      </c>
      <c r="P164" s="61"/>
    </row>
    <row r="165" spans="1:75" ht="15">
      <c r="A165" s="27" t="s">
        <v>59</v>
      </c>
      <c r="B165" s="12" t="s">
        <v>224</v>
      </c>
      <c r="C165" s="12" t="s">
        <v>284</v>
      </c>
      <c r="D165" s="80" t="s">
        <v>34</v>
      </c>
      <c r="E165" s="80"/>
      <c r="F165" s="12" t="s">
        <v>74</v>
      </c>
      <c r="G165" s="54">
        <v>15</v>
      </c>
      <c r="H165" s="54">
        <v>12.2</v>
      </c>
      <c r="I165" s="55" t="s">
        <v>230</v>
      </c>
      <c r="J165" s="54">
        <f>G165*AO165</f>
        <v>0</v>
      </c>
      <c r="K165" s="54">
        <f>G165*AP165</f>
        <v>183</v>
      </c>
      <c r="L165" s="54">
        <f>G165*H165</f>
        <v>183</v>
      </c>
      <c r="M165" s="54">
        <f>L165*(1+BW165/100)</f>
        <v>221.43</v>
      </c>
      <c r="N165" s="54">
        <v>0</v>
      </c>
      <c r="O165" s="54">
        <f>G165*N165</f>
        <v>0</v>
      </c>
      <c r="P165" s="56" t="s">
        <v>157</v>
      </c>
      <c r="Z165" s="54">
        <f>IF(AQ165="5",BJ165,0)</f>
        <v>0</v>
      </c>
      <c r="AB165" s="54">
        <f>IF(AQ165="1",BH165,0)</f>
        <v>0</v>
      </c>
      <c r="AC165" s="54">
        <f>IF(AQ165="1",BI165,0)</f>
        <v>183</v>
      </c>
      <c r="AD165" s="54">
        <f>IF(AQ165="7",BH165,0)</f>
        <v>0</v>
      </c>
      <c r="AE165" s="54">
        <f>IF(AQ165="7",BI165,0)</f>
        <v>0</v>
      </c>
      <c r="AF165" s="54">
        <f>IF(AQ165="2",BH165,0)</f>
        <v>0</v>
      </c>
      <c r="AG165" s="54">
        <f>IF(AQ165="2",BI165,0)</f>
        <v>0</v>
      </c>
      <c r="AH165" s="54">
        <f>IF(AQ165="0",BJ165,0)</f>
        <v>0</v>
      </c>
      <c r="AI165" s="37" t="s">
        <v>224</v>
      </c>
      <c r="AJ165" s="54">
        <f>IF(AN165=0,L165,0)</f>
        <v>0</v>
      </c>
      <c r="AK165" s="54">
        <f>IF(AN165=12,L165,0)</f>
        <v>0</v>
      </c>
      <c r="AL165" s="54">
        <f>IF(AN165=21,L165,0)</f>
        <v>183</v>
      </c>
      <c r="AN165" s="54">
        <v>21</v>
      </c>
      <c r="AO165" s="54">
        <f>H165*0</f>
        <v>0</v>
      </c>
      <c r="AP165" s="54">
        <f>H165*(1-0)</f>
        <v>12.2</v>
      </c>
      <c r="AQ165" s="55" t="s">
        <v>338</v>
      </c>
      <c r="AV165" s="54">
        <f>AW165+AX165</f>
        <v>183</v>
      </c>
      <c r="AW165" s="54">
        <f>G165*AO165</f>
        <v>0</v>
      </c>
      <c r="AX165" s="54">
        <f>G165*AP165</f>
        <v>183</v>
      </c>
      <c r="AY165" s="55" t="s">
        <v>301</v>
      </c>
      <c r="AZ165" s="55" t="s">
        <v>3</v>
      </c>
      <c r="BA165" s="37" t="s">
        <v>251</v>
      </c>
      <c r="BC165" s="54">
        <f>AW165+AX165</f>
        <v>183</v>
      </c>
      <c r="BD165" s="54">
        <f>H165/(100-BE165)*100</f>
        <v>12.2</v>
      </c>
      <c r="BE165" s="54">
        <v>0</v>
      </c>
      <c r="BF165" s="54">
        <f>O165</f>
        <v>0</v>
      </c>
      <c r="BH165" s="54">
        <f>G165*AO165</f>
        <v>0</v>
      </c>
      <c r="BI165" s="54">
        <f>G165*AP165</f>
        <v>183</v>
      </c>
      <c r="BJ165" s="54">
        <f>G165*H165</f>
        <v>183</v>
      </c>
      <c r="BK165" s="54"/>
      <c r="BL165" s="54">
        <v>96</v>
      </c>
      <c r="BW165" s="54" t="str">
        <f>I165</f>
        <v>21</v>
      </c>
    </row>
    <row r="166" spans="1:16" ht="15">
      <c r="A166" s="57"/>
      <c r="D166" s="58" t="s">
        <v>339</v>
      </c>
      <c r="E166" s="59" t="s">
        <v>261</v>
      </c>
      <c r="G166" s="60">
        <v>14.000000000000002</v>
      </c>
      <c r="P166" s="61"/>
    </row>
    <row r="167" spans="1:16" ht="15">
      <c r="A167" s="57"/>
      <c r="D167" s="58" t="s">
        <v>338</v>
      </c>
      <c r="E167" s="59" t="s">
        <v>71</v>
      </c>
      <c r="G167" s="60">
        <v>1</v>
      </c>
      <c r="P167" s="61"/>
    </row>
    <row r="168" spans="1:75" ht="15">
      <c r="A168" s="27" t="s">
        <v>111</v>
      </c>
      <c r="B168" s="12" t="s">
        <v>224</v>
      </c>
      <c r="C168" s="12" t="s">
        <v>257</v>
      </c>
      <c r="D168" s="80" t="s">
        <v>216</v>
      </c>
      <c r="E168" s="80"/>
      <c r="F168" s="12" t="s">
        <v>74</v>
      </c>
      <c r="G168" s="54">
        <v>14</v>
      </c>
      <c r="H168" s="54">
        <v>24.4</v>
      </c>
      <c r="I168" s="55" t="s">
        <v>230</v>
      </c>
      <c r="J168" s="54">
        <f>G168*AO168</f>
        <v>0</v>
      </c>
      <c r="K168" s="54">
        <f>G168*AP168</f>
        <v>341.59999999999997</v>
      </c>
      <c r="L168" s="54">
        <f>G168*H168</f>
        <v>341.59999999999997</v>
      </c>
      <c r="M168" s="54">
        <f>L168*(1+BW168/100)</f>
        <v>413.33599999999996</v>
      </c>
      <c r="N168" s="54">
        <v>0</v>
      </c>
      <c r="O168" s="54">
        <f>G168*N168</f>
        <v>0</v>
      </c>
      <c r="P168" s="56" t="s">
        <v>157</v>
      </c>
      <c r="Z168" s="54">
        <f>IF(AQ168="5",BJ168,0)</f>
        <v>0</v>
      </c>
      <c r="AB168" s="54">
        <f>IF(AQ168="1",BH168,0)</f>
        <v>0</v>
      </c>
      <c r="AC168" s="54">
        <f>IF(AQ168="1",BI168,0)</f>
        <v>341.59999999999997</v>
      </c>
      <c r="AD168" s="54">
        <f>IF(AQ168="7",BH168,0)</f>
        <v>0</v>
      </c>
      <c r="AE168" s="54">
        <f>IF(AQ168="7",BI168,0)</f>
        <v>0</v>
      </c>
      <c r="AF168" s="54">
        <f>IF(AQ168="2",BH168,0)</f>
        <v>0</v>
      </c>
      <c r="AG168" s="54">
        <f>IF(AQ168="2",BI168,0)</f>
        <v>0</v>
      </c>
      <c r="AH168" s="54">
        <f>IF(AQ168="0",BJ168,0)</f>
        <v>0</v>
      </c>
      <c r="AI168" s="37" t="s">
        <v>224</v>
      </c>
      <c r="AJ168" s="54">
        <f>IF(AN168=0,L168,0)</f>
        <v>0</v>
      </c>
      <c r="AK168" s="54">
        <f>IF(AN168=12,L168,0)</f>
        <v>0</v>
      </c>
      <c r="AL168" s="54">
        <f>IF(AN168=21,L168,0)</f>
        <v>341.59999999999997</v>
      </c>
      <c r="AN168" s="54">
        <v>21</v>
      </c>
      <c r="AO168" s="54">
        <f>H168*0</f>
        <v>0</v>
      </c>
      <c r="AP168" s="54">
        <f>H168*(1-0)</f>
        <v>24.4</v>
      </c>
      <c r="AQ168" s="55" t="s">
        <v>338</v>
      </c>
      <c r="AV168" s="54">
        <f>AW168+AX168</f>
        <v>341.59999999999997</v>
      </c>
      <c r="AW168" s="54">
        <f>G168*AO168</f>
        <v>0</v>
      </c>
      <c r="AX168" s="54">
        <f>G168*AP168</f>
        <v>341.59999999999997</v>
      </c>
      <c r="AY168" s="55" t="s">
        <v>301</v>
      </c>
      <c r="AZ168" s="55" t="s">
        <v>3</v>
      </c>
      <c r="BA168" s="37" t="s">
        <v>251</v>
      </c>
      <c r="BC168" s="54">
        <f>AW168+AX168</f>
        <v>341.59999999999997</v>
      </c>
      <c r="BD168" s="54">
        <f>H168/(100-BE168)*100</f>
        <v>24.4</v>
      </c>
      <c r="BE168" s="54">
        <v>0</v>
      </c>
      <c r="BF168" s="54">
        <f>O168</f>
        <v>0</v>
      </c>
      <c r="BH168" s="54">
        <f>G168*AO168</f>
        <v>0</v>
      </c>
      <c r="BI168" s="54">
        <f>G168*AP168</f>
        <v>341.59999999999997</v>
      </c>
      <c r="BJ168" s="54">
        <f>G168*H168</f>
        <v>341.59999999999997</v>
      </c>
      <c r="BK168" s="54"/>
      <c r="BL168" s="54">
        <v>96</v>
      </c>
      <c r="BW168" s="54" t="str">
        <f>I168</f>
        <v>21</v>
      </c>
    </row>
    <row r="169" spans="1:16" ht="15">
      <c r="A169" s="57"/>
      <c r="D169" s="58" t="s">
        <v>122</v>
      </c>
      <c r="E169" s="59" t="s">
        <v>202</v>
      </c>
      <c r="G169" s="60">
        <v>14.000000000000002</v>
      </c>
      <c r="P169" s="61"/>
    </row>
    <row r="170" spans="1:75" ht="15">
      <c r="A170" s="27" t="s">
        <v>152</v>
      </c>
      <c r="B170" s="12" t="s">
        <v>224</v>
      </c>
      <c r="C170" s="12" t="s">
        <v>247</v>
      </c>
      <c r="D170" s="80" t="s">
        <v>1</v>
      </c>
      <c r="E170" s="80"/>
      <c r="F170" s="12" t="s">
        <v>74</v>
      </c>
      <c r="G170" s="54">
        <v>2</v>
      </c>
      <c r="H170" s="54">
        <v>20.4</v>
      </c>
      <c r="I170" s="55" t="s">
        <v>230</v>
      </c>
      <c r="J170" s="54">
        <f>G170*AO170</f>
        <v>0</v>
      </c>
      <c r="K170" s="54">
        <f>G170*AP170</f>
        <v>40.8</v>
      </c>
      <c r="L170" s="54">
        <f>G170*H170</f>
        <v>40.8</v>
      </c>
      <c r="M170" s="54">
        <f>L170*(1+BW170/100)</f>
        <v>49.367999999999995</v>
      </c>
      <c r="N170" s="54">
        <v>0</v>
      </c>
      <c r="O170" s="54">
        <f>G170*N170</f>
        <v>0</v>
      </c>
      <c r="P170" s="56" t="s">
        <v>157</v>
      </c>
      <c r="Z170" s="54">
        <f>IF(AQ170="5",BJ170,0)</f>
        <v>0</v>
      </c>
      <c r="AB170" s="54">
        <f>IF(AQ170="1",BH170,0)</f>
        <v>0</v>
      </c>
      <c r="AC170" s="54">
        <f>IF(AQ170="1",BI170,0)</f>
        <v>40.8</v>
      </c>
      <c r="AD170" s="54">
        <f>IF(AQ170="7",BH170,0)</f>
        <v>0</v>
      </c>
      <c r="AE170" s="54">
        <f>IF(AQ170="7",BI170,0)</f>
        <v>0</v>
      </c>
      <c r="AF170" s="54">
        <f>IF(AQ170="2",BH170,0)</f>
        <v>0</v>
      </c>
      <c r="AG170" s="54">
        <f>IF(AQ170="2",BI170,0)</f>
        <v>0</v>
      </c>
      <c r="AH170" s="54">
        <f>IF(AQ170="0",BJ170,0)</f>
        <v>0</v>
      </c>
      <c r="AI170" s="37" t="s">
        <v>224</v>
      </c>
      <c r="AJ170" s="54">
        <f>IF(AN170=0,L170,0)</f>
        <v>0</v>
      </c>
      <c r="AK170" s="54">
        <f>IF(AN170=12,L170,0)</f>
        <v>0</v>
      </c>
      <c r="AL170" s="54">
        <f>IF(AN170=21,L170,0)</f>
        <v>40.8</v>
      </c>
      <c r="AN170" s="54">
        <v>21</v>
      </c>
      <c r="AO170" s="54">
        <f>H170*0</f>
        <v>0</v>
      </c>
      <c r="AP170" s="54">
        <f>H170*(1-0)</f>
        <v>20.4</v>
      </c>
      <c r="AQ170" s="55" t="s">
        <v>338</v>
      </c>
      <c r="AV170" s="54">
        <f>AW170+AX170</f>
        <v>40.8</v>
      </c>
      <c r="AW170" s="54">
        <f>G170*AO170</f>
        <v>0</v>
      </c>
      <c r="AX170" s="54">
        <f>G170*AP170</f>
        <v>40.8</v>
      </c>
      <c r="AY170" s="55" t="s">
        <v>301</v>
      </c>
      <c r="AZ170" s="55" t="s">
        <v>3</v>
      </c>
      <c r="BA170" s="37" t="s">
        <v>251</v>
      </c>
      <c r="BC170" s="54">
        <f>AW170+AX170</f>
        <v>40.8</v>
      </c>
      <c r="BD170" s="54">
        <f>H170/(100-BE170)*100</f>
        <v>20.4</v>
      </c>
      <c r="BE170" s="54">
        <v>0</v>
      </c>
      <c r="BF170" s="54">
        <f>O170</f>
        <v>0</v>
      </c>
      <c r="BH170" s="54">
        <f>G170*AO170</f>
        <v>0</v>
      </c>
      <c r="BI170" s="54">
        <f>G170*AP170</f>
        <v>40.8</v>
      </c>
      <c r="BJ170" s="54">
        <f>G170*H170</f>
        <v>40.8</v>
      </c>
      <c r="BK170" s="54"/>
      <c r="BL170" s="54">
        <v>96</v>
      </c>
      <c r="BW170" s="54" t="str">
        <f>I170</f>
        <v>21</v>
      </c>
    </row>
    <row r="171" spans="1:16" ht="15">
      <c r="A171" s="57"/>
      <c r="D171" s="58" t="s">
        <v>221</v>
      </c>
      <c r="E171" s="59" t="s">
        <v>202</v>
      </c>
      <c r="G171" s="60">
        <v>2</v>
      </c>
      <c r="P171" s="61"/>
    </row>
    <row r="172" spans="1:75" ht="15">
      <c r="A172" s="27" t="s">
        <v>120</v>
      </c>
      <c r="B172" s="12" t="s">
        <v>224</v>
      </c>
      <c r="C172" s="12" t="s">
        <v>321</v>
      </c>
      <c r="D172" s="80" t="s">
        <v>362</v>
      </c>
      <c r="E172" s="80"/>
      <c r="F172" s="12" t="s">
        <v>282</v>
      </c>
      <c r="G172" s="54">
        <v>35.1</v>
      </c>
      <c r="H172" s="54">
        <v>41</v>
      </c>
      <c r="I172" s="55" t="s">
        <v>230</v>
      </c>
      <c r="J172" s="54">
        <f>G172*AO172</f>
        <v>0</v>
      </c>
      <c r="K172" s="54">
        <f>G172*AP172</f>
        <v>1439.1000000000001</v>
      </c>
      <c r="L172" s="54">
        <f>G172*H172</f>
        <v>1439.1000000000001</v>
      </c>
      <c r="M172" s="54">
        <f>L172*(1+BW172/100)</f>
        <v>1741.3110000000001</v>
      </c>
      <c r="N172" s="54">
        <v>0.01113</v>
      </c>
      <c r="O172" s="54">
        <f>G172*N172</f>
        <v>0.390663</v>
      </c>
      <c r="P172" s="56" t="s">
        <v>157</v>
      </c>
      <c r="Z172" s="54">
        <f>IF(AQ172="5",BJ172,0)</f>
        <v>0</v>
      </c>
      <c r="AB172" s="54">
        <f>IF(AQ172="1",BH172,0)</f>
        <v>0</v>
      </c>
      <c r="AC172" s="54">
        <f>IF(AQ172="1",BI172,0)</f>
        <v>1439.1000000000001</v>
      </c>
      <c r="AD172" s="54">
        <f>IF(AQ172="7",BH172,0)</f>
        <v>0</v>
      </c>
      <c r="AE172" s="54">
        <f>IF(AQ172="7",BI172,0)</f>
        <v>0</v>
      </c>
      <c r="AF172" s="54">
        <f>IF(AQ172="2",BH172,0)</f>
        <v>0</v>
      </c>
      <c r="AG172" s="54">
        <f>IF(AQ172="2",BI172,0)</f>
        <v>0</v>
      </c>
      <c r="AH172" s="54">
        <f>IF(AQ172="0",BJ172,0)</f>
        <v>0</v>
      </c>
      <c r="AI172" s="37" t="s">
        <v>224</v>
      </c>
      <c r="AJ172" s="54">
        <f>IF(AN172=0,L172,0)</f>
        <v>0</v>
      </c>
      <c r="AK172" s="54">
        <f>IF(AN172=12,L172,0)</f>
        <v>0</v>
      </c>
      <c r="AL172" s="54">
        <f>IF(AN172=21,L172,0)</f>
        <v>1439.1000000000001</v>
      </c>
      <c r="AN172" s="54">
        <v>21</v>
      </c>
      <c r="AO172" s="54">
        <f>H172*0</f>
        <v>0</v>
      </c>
      <c r="AP172" s="54">
        <f>H172*(1-0)</f>
        <v>41</v>
      </c>
      <c r="AQ172" s="55" t="s">
        <v>338</v>
      </c>
      <c r="AV172" s="54">
        <f>AW172+AX172</f>
        <v>1439.1000000000001</v>
      </c>
      <c r="AW172" s="54">
        <f>G172*AO172</f>
        <v>0</v>
      </c>
      <c r="AX172" s="54">
        <f>G172*AP172</f>
        <v>1439.1000000000001</v>
      </c>
      <c r="AY172" s="55" t="s">
        <v>301</v>
      </c>
      <c r="AZ172" s="55" t="s">
        <v>3</v>
      </c>
      <c r="BA172" s="37" t="s">
        <v>251</v>
      </c>
      <c r="BC172" s="54">
        <f>AW172+AX172</f>
        <v>1439.1000000000001</v>
      </c>
      <c r="BD172" s="54">
        <f>H172/(100-BE172)*100</f>
        <v>41</v>
      </c>
      <c r="BE172" s="54">
        <v>0</v>
      </c>
      <c r="BF172" s="54">
        <f>O172</f>
        <v>0.390663</v>
      </c>
      <c r="BH172" s="54">
        <f>G172*AO172</f>
        <v>0</v>
      </c>
      <c r="BI172" s="54">
        <f>G172*AP172</f>
        <v>1439.1000000000001</v>
      </c>
      <c r="BJ172" s="54">
        <f>G172*H172</f>
        <v>1439.1000000000001</v>
      </c>
      <c r="BK172" s="54"/>
      <c r="BL172" s="54">
        <v>96</v>
      </c>
      <c r="BW172" s="54" t="str">
        <f>I172</f>
        <v>21</v>
      </c>
    </row>
    <row r="173" spans="1:16" ht="15">
      <c r="A173" s="57"/>
      <c r="D173" s="58" t="s">
        <v>135</v>
      </c>
      <c r="E173" s="59" t="s">
        <v>261</v>
      </c>
      <c r="G173" s="60">
        <v>8.700000000000001</v>
      </c>
      <c r="P173" s="61"/>
    </row>
    <row r="174" spans="1:16" ht="15">
      <c r="A174" s="57"/>
      <c r="D174" s="58" t="s">
        <v>217</v>
      </c>
      <c r="E174" s="59" t="s">
        <v>71</v>
      </c>
      <c r="G174" s="60">
        <v>1.2000000000000002</v>
      </c>
      <c r="P174" s="61"/>
    </row>
    <row r="175" spans="1:16" ht="15">
      <c r="A175" s="57"/>
      <c r="D175" s="58" t="s">
        <v>180</v>
      </c>
      <c r="E175" s="59" t="s">
        <v>312</v>
      </c>
      <c r="G175" s="60">
        <v>25.200000000000003</v>
      </c>
      <c r="P175" s="61"/>
    </row>
    <row r="176" spans="1:47" ht="15">
      <c r="A176" s="51" t="s">
        <v>224</v>
      </c>
      <c r="B176" s="7" t="s">
        <v>224</v>
      </c>
      <c r="C176" s="7" t="s">
        <v>40</v>
      </c>
      <c r="D176" s="133" t="s">
        <v>369</v>
      </c>
      <c r="E176" s="133"/>
      <c r="F176" s="52" t="s">
        <v>310</v>
      </c>
      <c r="G176" s="52" t="s">
        <v>310</v>
      </c>
      <c r="H176" s="52" t="s">
        <v>310</v>
      </c>
      <c r="I176" s="52" t="s">
        <v>310</v>
      </c>
      <c r="J176" s="29">
        <f>SUM(J177:J177)</f>
        <v>0</v>
      </c>
      <c r="K176" s="29">
        <f>SUM(K177:K177)</f>
        <v>782.8499999999999</v>
      </c>
      <c r="L176" s="29">
        <f>SUM(L177:L177)</f>
        <v>782.8499999999999</v>
      </c>
      <c r="M176" s="29">
        <f>SUM(M177:M177)</f>
        <v>947.2484999999998</v>
      </c>
      <c r="N176" s="37" t="s">
        <v>224</v>
      </c>
      <c r="O176" s="29">
        <f>SUM(O177:O177)</f>
        <v>0.1734</v>
      </c>
      <c r="P176" s="53" t="s">
        <v>224</v>
      </c>
      <c r="AI176" s="37" t="s">
        <v>224</v>
      </c>
      <c r="AS176" s="29">
        <f>SUM(AJ177:AJ177)</f>
        <v>0</v>
      </c>
      <c r="AT176" s="29">
        <f>SUM(AK177:AK177)</f>
        <v>0</v>
      </c>
      <c r="AU176" s="29">
        <f>SUM(AL177:AL177)</f>
        <v>782.8499999999999</v>
      </c>
    </row>
    <row r="177" spans="1:75" ht="15">
      <c r="A177" s="27" t="s">
        <v>272</v>
      </c>
      <c r="B177" s="12" t="s">
        <v>224</v>
      </c>
      <c r="C177" s="12" t="s">
        <v>238</v>
      </c>
      <c r="D177" s="80" t="s">
        <v>231</v>
      </c>
      <c r="E177" s="80"/>
      <c r="F177" s="12" t="s">
        <v>334</v>
      </c>
      <c r="G177" s="54">
        <v>2.55</v>
      </c>
      <c r="H177" s="54">
        <v>307</v>
      </c>
      <c r="I177" s="55" t="s">
        <v>230</v>
      </c>
      <c r="J177" s="54">
        <f>G177*AO177</f>
        <v>0</v>
      </c>
      <c r="K177" s="54">
        <f>G177*AP177</f>
        <v>782.8499999999999</v>
      </c>
      <c r="L177" s="54">
        <f>G177*H177</f>
        <v>782.8499999999999</v>
      </c>
      <c r="M177" s="54">
        <f>L177*(1+BW177/100)</f>
        <v>947.2484999999998</v>
      </c>
      <c r="N177" s="54">
        <v>0.068</v>
      </c>
      <c r="O177" s="54">
        <f>G177*N177</f>
        <v>0.1734</v>
      </c>
      <c r="P177" s="56" t="s">
        <v>157</v>
      </c>
      <c r="Z177" s="54">
        <f>IF(AQ177="5",BJ177,0)</f>
        <v>0</v>
      </c>
      <c r="AB177" s="54">
        <f>IF(AQ177="1",BH177,0)</f>
        <v>0</v>
      </c>
      <c r="AC177" s="54">
        <f>IF(AQ177="1",BI177,0)</f>
        <v>782.8499999999999</v>
      </c>
      <c r="AD177" s="54">
        <f>IF(AQ177="7",BH177,0)</f>
        <v>0</v>
      </c>
      <c r="AE177" s="54">
        <f>IF(AQ177="7",BI177,0)</f>
        <v>0</v>
      </c>
      <c r="AF177" s="54">
        <f>IF(AQ177="2",BH177,0)</f>
        <v>0</v>
      </c>
      <c r="AG177" s="54">
        <f>IF(AQ177="2",BI177,0)</f>
        <v>0</v>
      </c>
      <c r="AH177" s="54">
        <f>IF(AQ177="0",BJ177,0)</f>
        <v>0</v>
      </c>
      <c r="AI177" s="37" t="s">
        <v>224</v>
      </c>
      <c r="AJ177" s="54">
        <f>IF(AN177=0,L177,0)</f>
        <v>0</v>
      </c>
      <c r="AK177" s="54">
        <f>IF(AN177=12,L177,0)</f>
        <v>0</v>
      </c>
      <c r="AL177" s="54">
        <f>IF(AN177=21,L177,0)</f>
        <v>782.8499999999999</v>
      </c>
      <c r="AN177" s="54">
        <v>21</v>
      </c>
      <c r="AO177" s="54">
        <f>H177*0</f>
        <v>0</v>
      </c>
      <c r="AP177" s="54">
        <f>H177*(1-0)</f>
        <v>307</v>
      </c>
      <c r="AQ177" s="55" t="s">
        <v>338</v>
      </c>
      <c r="AV177" s="54">
        <f>AW177+AX177</f>
        <v>782.8499999999999</v>
      </c>
      <c r="AW177" s="54">
        <f>G177*AO177</f>
        <v>0</v>
      </c>
      <c r="AX177" s="54">
        <f>G177*AP177</f>
        <v>782.8499999999999</v>
      </c>
      <c r="AY177" s="55" t="s">
        <v>99</v>
      </c>
      <c r="AZ177" s="55" t="s">
        <v>3</v>
      </c>
      <c r="BA177" s="37" t="s">
        <v>251</v>
      </c>
      <c r="BC177" s="54">
        <f>AW177+AX177</f>
        <v>782.8499999999999</v>
      </c>
      <c r="BD177" s="54">
        <f>H177/(100-BE177)*100</f>
        <v>307</v>
      </c>
      <c r="BE177" s="54">
        <v>0</v>
      </c>
      <c r="BF177" s="54">
        <f>O177</f>
        <v>0.1734</v>
      </c>
      <c r="BH177" s="54">
        <f>G177*AO177</f>
        <v>0</v>
      </c>
      <c r="BI177" s="54">
        <f>G177*AP177</f>
        <v>782.8499999999999</v>
      </c>
      <c r="BJ177" s="54">
        <f>G177*H177</f>
        <v>782.8499999999999</v>
      </c>
      <c r="BK177" s="54"/>
      <c r="BL177" s="54">
        <v>97</v>
      </c>
      <c r="BW177" s="54" t="str">
        <f>I177</f>
        <v>21</v>
      </c>
    </row>
    <row r="178" spans="1:16" ht="15">
      <c r="A178" s="57"/>
      <c r="D178" s="58" t="s">
        <v>75</v>
      </c>
      <c r="E178" s="59" t="s">
        <v>355</v>
      </c>
      <c r="G178" s="60">
        <v>2.5500000000000003</v>
      </c>
      <c r="P178" s="61"/>
    </row>
    <row r="179" spans="1:47" ht="15">
      <c r="A179" s="51" t="s">
        <v>224</v>
      </c>
      <c r="B179" s="7" t="s">
        <v>224</v>
      </c>
      <c r="C179" s="7" t="s">
        <v>211</v>
      </c>
      <c r="D179" s="133" t="s">
        <v>199</v>
      </c>
      <c r="E179" s="133"/>
      <c r="F179" s="52" t="s">
        <v>310</v>
      </c>
      <c r="G179" s="52" t="s">
        <v>310</v>
      </c>
      <c r="H179" s="52" t="s">
        <v>310</v>
      </c>
      <c r="I179" s="52" t="s">
        <v>310</v>
      </c>
      <c r="J179" s="29">
        <f>SUM(J180:J180)</f>
        <v>0</v>
      </c>
      <c r="K179" s="29">
        <f>SUM(K180:K180)</f>
        <v>3286.605</v>
      </c>
      <c r="L179" s="29">
        <f>SUM(L180:L180)</f>
        <v>3286.605</v>
      </c>
      <c r="M179" s="29">
        <f>SUM(M180:M180)</f>
        <v>3976.79205</v>
      </c>
      <c r="N179" s="37" t="s">
        <v>224</v>
      </c>
      <c r="O179" s="29">
        <f>SUM(O180:O180)</f>
        <v>0</v>
      </c>
      <c r="P179" s="53" t="s">
        <v>224</v>
      </c>
      <c r="AI179" s="37" t="s">
        <v>224</v>
      </c>
      <c r="AS179" s="29">
        <f>SUM(AJ180:AJ180)</f>
        <v>0</v>
      </c>
      <c r="AT179" s="29">
        <f>SUM(AK180:AK180)</f>
        <v>0</v>
      </c>
      <c r="AU179" s="29">
        <f>SUM(AL180:AL180)</f>
        <v>3286.605</v>
      </c>
    </row>
    <row r="180" spans="1:75" ht="15">
      <c r="A180" s="27" t="s">
        <v>348</v>
      </c>
      <c r="B180" s="12" t="s">
        <v>224</v>
      </c>
      <c r="C180" s="12" t="s">
        <v>81</v>
      </c>
      <c r="D180" s="80" t="s">
        <v>58</v>
      </c>
      <c r="E180" s="80"/>
      <c r="F180" s="12" t="s">
        <v>161</v>
      </c>
      <c r="G180" s="54">
        <v>7.91</v>
      </c>
      <c r="H180" s="54">
        <v>415.5</v>
      </c>
      <c r="I180" s="55" t="s">
        <v>230</v>
      </c>
      <c r="J180" s="54">
        <f>G180*AO180</f>
        <v>0</v>
      </c>
      <c r="K180" s="54">
        <f>G180*AP180</f>
        <v>3286.605</v>
      </c>
      <c r="L180" s="54">
        <f>G180*H180</f>
        <v>3286.605</v>
      </c>
      <c r="M180" s="54">
        <f>L180*(1+BW180/100)</f>
        <v>3976.79205</v>
      </c>
      <c r="N180" s="54">
        <v>0</v>
      </c>
      <c r="O180" s="54">
        <f>G180*N180</f>
        <v>0</v>
      </c>
      <c r="P180" s="56" t="s">
        <v>157</v>
      </c>
      <c r="Z180" s="54">
        <f>IF(AQ180="5",BJ180,0)</f>
        <v>3286.605</v>
      </c>
      <c r="AB180" s="54">
        <f>IF(AQ180="1",BH180,0)</f>
        <v>0</v>
      </c>
      <c r="AC180" s="54">
        <f>IF(AQ180="1",BI180,0)</f>
        <v>0</v>
      </c>
      <c r="AD180" s="54">
        <f>IF(AQ180="7",BH180,0)</f>
        <v>0</v>
      </c>
      <c r="AE180" s="54">
        <f>IF(AQ180="7",BI180,0)</f>
        <v>0</v>
      </c>
      <c r="AF180" s="54">
        <f>IF(AQ180="2",BH180,0)</f>
        <v>0</v>
      </c>
      <c r="AG180" s="54">
        <f>IF(AQ180="2",BI180,0)</f>
        <v>0</v>
      </c>
      <c r="AH180" s="54">
        <f>IF(AQ180="0",BJ180,0)</f>
        <v>0</v>
      </c>
      <c r="AI180" s="37" t="s">
        <v>224</v>
      </c>
      <c r="AJ180" s="54">
        <f>IF(AN180=0,L180,0)</f>
        <v>0</v>
      </c>
      <c r="AK180" s="54">
        <f>IF(AN180=12,L180,0)</f>
        <v>0</v>
      </c>
      <c r="AL180" s="54">
        <f>IF(AN180=21,L180,0)</f>
        <v>3286.605</v>
      </c>
      <c r="AN180" s="54">
        <v>21</v>
      </c>
      <c r="AO180" s="54">
        <f>H180*0</f>
        <v>0</v>
      </c>
      <c r="AP180" s="54">
        <f>H180*(1-0)</f>
        <v>415.5</v>
      </c>
      <c r="AQ180" s="55" t="s">
        <v>179</v>
      </c>
      <c r="AV180" s="54">
        <f>AW180+AX180</f>
        <v>3286.605</v>
      </c>
      <c r="AW180" s="54">
        <f>G180*AO180</f>
        <v>0</v>
      </c>
      <c r="AX180" s="54">
        <f>G180*AP180</f>
        <v>3286.605</v>
      </c>
      <c r="AY180" s="55" t="s">
        <v>345</v>
      </c>
      <c r="AZ180" s="55" t="s">
        <v>3</v>
      </c>
      <c r="BA180" s="37" t="s">
        <v>251</v>
      </c>
      <c r="BC180" s="54">
        <f>AW180+AX180</f>
        <v>3286.605</v>
      </c>
      <c r="BD180" s="54">
        <f>H180/(100-BE180)*100</f>
        <v>415.5</v>
      </c>
      <c r="BE180" s="54">
        <v>0</v>
      </c>
      <c r="BF180" s="54">
        <f>O180</f>
        <v>0</v>
      </c>
      <c r="BH180" s="54">
        <f>G180*AO180</f>
        <v>0</v>
      </c>
      <c r="BI180" s="54">
        <f>G180*AP180</f>
        <v>3286.605</v>
      </c>
      <c r="BJ180" s="54">
        <f>G180*H180</f>
        <v>3286.605</v>
      </c>
      <c r="BK180" s="54"/>
      <c r="BL180" s="54"/>
      <c r="BW180" s="54" t="str">
        <f>I180</f>
        <v>21</v>
      </c>
    </row>
    <row r="181" spans="1:47" ht="15">
      <c r="A181" s="51" t="s">
        <v>224</v>
      </c>
      <c r="B181" s="7" t="s">
        <v>224</v>
      </c>
      <c r="C181" s="7" t="s">
        <v>109</v>
      </c>
      <c r="D181" s="133" t="s">
        <v>148</v>
      </c>
      <c r="E181" s="133"/>
      <c r="F181" s="52" t="s">
        <v>310</v>
      </c>
      <c r="G181" s="52" t="s">
        <v>310</v>
      </c>
      <c r="H181" s="52" t="s">
        <v>310</v>
      </c>
      <c r="I181" s="52" t="s">
        <v>310</v>
      </c>
      <c r="J181" s="29">
        <f>SUM(J182:J191)</f>
        <v>0</v>
      </c>
      <c r="K181" s="29">
        <f>SUM(K182:K191)</f>
        <v>10759.71</v>
      </c>
      <c r="L181" s="29">
        <f>SUM(L182:L191)</f>
        <v>10759.71</v>
      </c>
      <c r="M181" s="29">
        <f>SUM(M182:M191)</f>
        <v>13019.249099999999</v>
      </c>
      <c r="N181" s="37" t="s">
        <v>224</v>
      </c>
      <c r="O181" s="29">
        <f>SUM(O182:O191)</f>
        <v>0</v>
      </c>
      <c r="P181" s="53" t="s">
        <v>224</v>
      </c>
      <c r="AI181" s="37" t="s">
        <v>224</v>
      </c>
      <c r="AS181" s="29">
        <f>SUM(AJ182:AJ191)</f>
        <v>0</v>
      </c>
      <c r="AT181" s="29">
        <f>SUM(AK182:AK191)</f>
        <v>0</v>
      </c>
      <c r="AU181" s="29">
        <f>SUM(AL182:AL191)</f>
        <v>10759.71</v>
      </c>
    </row>
    <row r="182" spans="1:75" ht="15">
      <c r="A182" s="27" t="s">
        <v>23</v>
      </c>
      <c r="B182" s="12" t="s">
        <v>224</v>
      </c>
      <c r="C182" s="12" t="s">
        <v>346</v>
      </c>
      <c r="D182" s="80" t="s">
        <v>78</v>
      </c>
      <c r="E182" s="80"/>
      <c r="F182" s="12" t="s">
        <v>161</v>
      </c>
      <c r="G182" s="54">
        <v>2.82</v>
      </c>
      <c r="H182" s="54">
        <v>383.5</v>
      </c>
      <c r="I182" s="55" t="s">
        <v>230</v>
      </c>
      <c r="J182" s="54">
        <f>G182*AO182</f>
        <v>0</v>
      </c>
      <c r="K182" s="54">
        <f>G182*AP182</f>
        <v>1081.47</v>
      </c>
      <c r="L182" s="54">
        <f>G182*H182</f>
        <v>1081.47</v>
      </c>
      <c r="M182" s="54">
        <f>L182*(1+BW182/100)</f>
        <v>1308.5787</v>
      </c>
      <c r="N182" s="54">
        <v>0</v>
      </c>
      <c r="O182" s="54">
        <f>G182*N182</f>
        <v>0</v>
      </c>
      <c r="P182" s="56" t="s">
        <v>157</v>
      </c>
      <c r="Z182" s="54">
        <f>IF(AQ182="5",BJ182,0)</f>
        <v>1081.47</v>
      </c>
      <c r="AB182" s="54">
        <f>IF(AQ182="1",BH182,0)</f>
        <v>0</v>
      </c>
      <c r="AC182" s="54">
        <f>IF(AQ182="1",BI182,0)</f>
        <v>0</v>
      </c>
      <c r="AD182" s="54">
        <f>IF(AQ182="7",BH182,0)</f>
        <v>0</v>
      </c>
      <c r="AE182" s="54">
        <f>IF(AQ182="7",BI182,0)</f>
        <v>0</v>
      </c>
      <c r="AF182" s="54">
        <f>IF(AQ182="2",BH182,0)</f>
        <v>0</v>
      </c>
      <c r="AG182" s="54">
        <f>IF(AQ182="2",BI182,0)</f>
        <v>0</v>
      </c>
      <c r="AH182" s="54">
        <f>IF(AQ182="0",BJ182,0)</f>
        <v>0</v>
      </c>
      <c r="AI182" s="37" t="s">
        <v>224</v>
      </c>
      <c r="AJ182" s="54">
        <f>IF(AN182=0,L182,0)</f>
        <v>0</v>
      </c>
      <c r="AK182" s="54">
        <f>IF(AN182=12,L182,0)</f>
        <v>0</v>
      </c>
      <c r="AL182" s="54">
        <f>IF(AN182=21,L182,0)</f>
        <v>1081.47</v>
      </c>
      <c r="AN182" s="54">
        <v>21</v>
      </c>
      <c r="AO182" s="54">
        <f>H182*0</f>
        <v>0</v>
      </c>
      <c r="AP182" s="54">
        <f>H182*(1-0)</f>
        <v>383.5</v>
      </c>
      <c r="AQ182" s="55" t="s">
        <v>179</v>
      </c>
      <c r="AV182" s="54">
        <f>AW182+AX182</f>
        <v>1081.47</v>
      </c>
      <c r="AW182" s="54">
        <f>G182*AO182</f>
        <v>0</v>
      </c>
      <c r="AX182" s="54">
        <f>G182*AP182</f>
        <v>1081.47</v>
      </c>
      <c r="AY182" s="55" t="s">
        <v>143</v>
      </c>
      <c r="AZ182" s="55" t="s">
        <v>3</v>
      </c>
      <c r="BA182" s="37" t="s">
        <v>251</v>
      </c>
      <c r="BC182" s="54">
        <f>AW182+AX182</f>
        <v>1081.47</v>
      </c>
      <c r="BD182" s="54">
        <f>H182/(100-BE182)*100</f>
        <v>383.5</v>
      </c>
      <c r="BE182" s="54">
        <v>0</v>
      </c>
      <c r="BF182" s="54">
        <f>O182</f>
        <v>0</v>
      </c>
      <c r="BH182" s="54">
        <f>G182*AO182</f>
        <v>0</v>
      </c>
      <c r="BI182" s="54">
        <f>G182*AP182</f>
        <v>1081.47</v>
      </c>
      <c r="BJ182" s="54">
        <f>G182*H182</f>
        <v>1081.47</v>
      </c>
      <c r="BK182" s="54"/>
      <c r="BL182" s="54"/>
      <c r="BW182" s="54" t="str">
        <f>I182</f>
        <v>21</v>
      </c>
    </row>
    <row r="183" spans="1:75" ht="15">
      <c r="A183" s="27" t="s">
        <v>256</v>
      </c>
      <c r="B183" s="12" t="s">
        <v>224</v>
      </c>
      <c r="C183" s="12" t="s">
        <v>366</v>
      </c>
      <c r="D183" s="80" t="s">
        <v>276</v>
      </c>
      <c r="E183" s="80"/>
      <c r="F183" s="12" t="s">
        <v>161</v>
      </c>
      <c r="G183" s="54">
        <v>2.82</v>
      </c>
      <c r="H183" s="54">
        <v>419.01</v>
      </c>
      <c r="I183" s="55" t="s">
        <v>230</v>
      </c>
      <c r="J183" s="54">
        <f>G183*AO183</f>
        <v>0</v>
      </c>
      <c r="K183" s="54">
        <f>G183*AP183</f>
        <v>1181.6082</v>
      </c>
      <c r="L183" s="54">
        <f>G183*H183</f>
        <v>1181.6082</v>
      </c>
      <c r="M183" s="54">
        <f>L183*(1+BW183/100)</f>
        <v>1429.7459219999998</v>
      </c>
      <c r="N183" s="54">
        <v>0</v>
      </c>
      <c r="O183" s="54">
        <f>G183*N183</f>
        <v>0</v>
      </c>
      <c r="P183" s="56" t="s">
        <v>157</v>
      </c>
      <c r="Z183" s="54">
        <f>IF(AQ183="5",BJ183,0)</f>
        <v>1181.6082</v>
      </c>
      <c r="AB183" s="54">
        <f>IF(AQ183="1",BH183,0)</f>
        <v>0</v>
      </c>
      <c r="AC183" s="54">
        <f>IF(AQ183="1",BI183,0)</f>
        <v>0</v>
      </c>
      <c r="AD183" s="54">
        <f>IF(AQ183="7",BH183,0)</f>
        <v>0</v>
      </c>
      <c r="AE183" s="54">
        <f>IF(AQ183="7",BI183,0)</f>
        <v>0</v>
      </c>
      <c r="AF183" s="54">
        <f>IF(AQ183="2",BH183,0)</f>
        <v>0</v>
      </c>
      <c r="AG183" s="54">
        <f>IF(AQ183="2",BI183,0)</f>
        <v>0</v>
      </c>
      <c r="AH183" s="54">
        <f>IF(AQ183="0",BJ183,0)</f>
        <v>0</v>
      </c>
      <c r="AI183" s="37" t="s">
        <v>224</v>
      </c>
      <c r="AJ183" s="54">
        <f>IF(AN183=0,L183,0)</f>
        <v>0</v>
      </c>
      <c r="AK183" s="54">
        <f>IF(AN183=12,L183,0)</f>
        <v>0</v>
      </c>
      <c r="AL183" s="54">
        <f>IF(AN183=21,L183,0)</f>
        <v>1181.6082</v>
      </c>
      <c r="AN183" s="54">
        <v>21</v>
      </c>
      <c r="AO183" s="54">
        <f>H183*0</f>
        <v>0</v>
      </c>
      <c r="AP183" s="54">
        <f>H183*(1-0)</f>
        <v>419.01</v>
      </c>
      <c r="AQ183" s="55" t="s">
        <v>179</v>
      </c>
      <c r="AV183" s="54">
        <f>AW183+AX183</f>
        <v>1181.6082</v>
      </c>
      <c r="AW183" s="54">
        <f>G183*AO183</f>
        <v>0</v>
      </c>
      <c r="AX183" s="54">
        <f>G183*AP183</f>
        <v>1181.6082</v>
      </c>
      <c r="AY183" s="55" t="s">
        <v>143</v>
      </c>
      <c r="AZ183" s="55" t="s">
        <v>3</v>
      </c>
      <c r="BA183" s="37" t="s">
        <v>251</v>
      </c>
      <c r="BC183" s="54">
        <f>AW183+AX183</f>
        <v>1181.6082</v>
      </c>
      <c r="BD183" s="54">
        <f>H183/(100-BE183)*100</f>
        <v>419.01</v>
      </c>
      <c r="BE183" s="54">
        <v>0</v>
      </c>
      <c r="BF183" s="54">
        <f>O183</f>
        <v>0</v>
      </c>
      <c r="BH183" s="54">
        <f>G183*AO183</f>
        <v>0</v>
      </c>
      <c r="BI183" s="54">
        <f>G183*AP183</f>
        <v>1181.6082</v>
      </c>
      <c r="BJ183" s="54">
        <f>G183*H183</f>
        <v>1181.6082</v>
      </c>
      <c r="BK183" s="54"/>
      <c r="BL183" s="54"/>
      <c r="BW183" s="54" t="str">
        <f>I183</f>
        <v>21</v>
      </c>
    </row>
    <row r="184" spans="1:16" ht="15">
      <c r="A184" s="57"/>
      <c r="D184" s="58" t="s">
        <v>314</v>
      </c>
      <c r="E184" s="59" t="s">
        <v>224</v>
      </c>
      <c r="G184" s="60">
        <v>2.8200000000000003</v>
      </c>
      <c r="P184" s="61"/>
    </row>
    <row r="185" spans="1:75" ht="15">
      <c r="A185" s="27" t="s">
        <v>279</v>
      </c>
      <c r="B185" s="12" t="s">
        <v>224</v>
      </c>
      <c r="C185" s="12" t="s">
        <v>65</v>
      </c>
      <c r="D185" s="80" t="s">
        <v>88</v>
      </c>
      <c r="E185" s="80"/>
      <c r="F185" s="12" t="s">
        <v>161</v>
      </c>
      <c r="G185" s="54">
        <v>2.82</v>
      </c>
      <c r="H185" s="54">
        <v>331.5</v>
      </c>
      <c r="I185" s="55" t="s">
        <v>230</v>
      </c>
      <c r="J185" s="54">
        <f>G185*AO185</f>
        <v>0</v>
      </c>
      <c r="K185" s="54">
        <f>G185*AP185</f>
        <v>934.8299999999999</v>
      </c>
      <c r="L185" s="54">
        <f>G185*H185</f>
        <v>934.8299999999999</v>
      </c>
      <c r="M185" s="54">
        <f>L185*(1+BW185/100)</f>
        <v>1131.1443</v>
      </c>
      <c r="N185" s="54">
        <v>0</v>
      </c>
      <c r="O185" s="54">
        <f>G185*N185</f>
        <v>0</v>
      </c>
      <c r="P185" s="56" t="s">
        <v>157</v>
      </c>
      <c r="Z185" s="54">
        <f>IF(AQ185="5",BJ185,0)</f>
        <v>934.8299999999999</v>
      </c>
      <c r="AB185" s="54">
        <f>IF(AQ185="1",BH185,0)</f>
        <v>0</v>
      </c>
      <c r="AC185" s="54">
        <f>IF(AQ185="1",BI185,0)</f>
        <v>0</v>
      </c>
      <c r="AD185" s="54">
        <f>IF(AQ185="7",BH185,0)</f>
        <v>0</v>
      </c>
      <c r="AE185" s="54">
        <f>IF(AQ185="7",BI185,0)</f>
        <v>0</v>
      </c>
      <c r="AF185" s="54">
        <f>IF(AQ185="2",BH185,0)</f>
        <v>0</v>
      </c>
      <c r="AG185" s="54">
        <f>IF(AQ185="2",BI185,0)</f>
        <v>0</v>
      </c>
      <c r="AH185" s="54">
        <f>IF(AQ185="0",BJ185,0)</f>
        <v>0</v>
      </c>
      <c r="AI185" s="37" t="s">
        <v>224</v>
      </c>
      <c r="AJ185" s="54">
        <f>IF(AN185=0,L185,0)</f>
        <v>0</v>
      </c>
      <c r="AK185" s="54">
        <f>IF(AN185=12,L185,0)</f>
        <v>0</v>
      </c>
      <c r="AL185" s="54">
        <f>IF(AN185=21,L185,0)</f>
        <v>934.8299999999999</v>
      </c>
      <c r="AN185" s="54">
        <v>21</v>
      </c>
      <c r="AO185" s="54">
        <f>H185*0</f>
        <v>0</v>
      </c>
      <c r="AP185" s="54">
        <f>H185*(1-0)</f>
        <v>331.5</v>
      </c>
      <c r="AQ185" s="55" t="s">
        <v>179</v>
      </c>
      <c r="AV185" s="54">
        <f>AW185+AX185</f>
        <v>934.8299999999999</v>
      </c>
      <c r="AW185" s="54">
        <f>G185*AO185</f>
        <v>0</v>
      </c>
      <c r="AX185" s="54">
        <f>G185*AP185</f>
        <v>934.8299999999999</v>
      </c>
      <c r="AY185" s="55" t="s">
        <v>143</v>
      </c>
      <c r="AZ185" s="55" t="s">
        <v>3</v>
      </c>
      <c r="BA185" s="37" t="s">
        <v>251</v>
      </c>
      <c r="BC185" s="54">
        <f>AW185+AX185</f>
        <v>934.8299999999999</v>
      </c>
      <c r="BD185" s="54">
        <f>H185/(100-BE185)*100</f>
        <v>331.5</v>
      </c>
      <c r="BE185" s="54">
        <v>0</v>
      </c>
      <c r="BF185" s="54">
        <f>O185</f>
        <v>0</v>
      </c>
      <c r="BH185" s="54">
        <f>G185*AO185</f>
        <v>0</v>
      </c>
      <c r="BI185" s="54">
        <f>G185*AP185</f>
        <v>934.8299999999999</v>
      </c>
      <c r="BJ185" s="54">
        <f>G185*H185</f>
        <v>934.8299999999999</v>
      </c>
      <c r="BK185" s="54"/>
      <c r="BL185" s="54"/>
      <c r="BW185" s="54" t="str">
        <f>I185</f>
        <v>21</v>
      </c>
    </row>
    <row r="186" spans="1:16" ht="15">
      <c r="A186" s="57"/>
      <c r="D186" s="58" t="s">
        <v>314</v>
      </c>
      <c r="E186" s="59" t="s">
        <v>224</v>
      </c>
      <c r="G186" s="60">
        <v>2.8200000000000003</v>
      </c>
      <c r="P186" s="61"/>
    </row>
    <row r="187" spans="1:75" ht="15">
      <c r="A187" s="27" t="s">
        <v>146</v>
      </c>
      <c r="B187" s="12" t="s">
        <v>224</v>
      </c>
      <c r="C187" s="12" t="s">
        <v>233</v>
      </c>
      <c r="D187" s="80" t="s">
        <v>242</v>
      </c>
      <c r="E187" s="80"/>
      <c r="F187" s="12" t="s">
        <v>161</v>
      </c>
      <c r="G187" s="54">
        <v>2.82</v>
      </c>
      <c r="H187" s="54">
        <v>271.5</v>
      </c>
      <c r="I187" s="55" t="s">
        <v>230</v>
      </c>
      <c r="J187" s="54">
        <f>G187*AO187</f>
        <v>0</v>
      </c>
      <c r="K187" s="54">
        <f>G187*AP187</f>
        <v>765.63</v>
      </c>
      <c r="L187" s="54">
        <f>G187*H187</f>
        <v>765.63</v>
      </c>
      <c r="M187" s="54">
        <f>L187*(1+BW187/100)</f>
        <v>926.4123</v>
      </c>
      <c r="N187" s="54">
        <v>0</v>
      </c>
      <c r="O187" s="54">
        <f>G187*N187</f>
        <v>0</v>
      </c>
      <c r="P187" s="56" t="s">
        <v>157</v>
      </c>
      <c r="Z187" s="54">
        <f>IF(AQ187="5",BJ187,0)</f>
        <v>765.63</v>
      </c>
      <c r="AB187" s="54">
        <f>IF(AQ187="1",BH187,0)</f>
        <v>0</v>
      </c>
      <c r="AC187" s="54">
        <f>IF(AQ187="1",BI187,0)</f>
        <v>0</v>
      </c>
      <c r="AD187" s="54">
        <f>IF(AQ187="7",BH187,0)</f>
        <v>0</v>
      </c>
      <c r="AE187" s="54">
        <f>IF(AQ187="7",BI187,0)</f>
        <v>0</v>
      </c>
      <c r="AF187" s="54">
        <f>IF(AQ187="2",BH187,0)</f>
        <v>0</v>
      </c>
      <c r="AG187" s="54">
        <f>IF(AQ187="2",BI187,0)</f>
        <v>0</v>
      </c>
      <c r="AH187" s="54">
        <f>IF(AQ187="0",BJ187,0)</f>
        <v>0</v>
      </c>
      <c r="AI187" s="37" t="s">
        <v>224</v>
      </c>
      <c r="AJ187" s="54">
        <f>IF(AN187=0,L187,0)</f>
        <v>0</v>
      </c>
      <c r="AK187" s="54">
        <f>IF(AN187=12,L187,0)</f>
        <v>0</v>
      </c>
      <c r="AL187" s="54">
        <f>IF(AN187=21,L187,0)</f>
        <v>765.63</v>
      </c>
      <c r="AN187" s="54">
        <v>21</v>
      </c>
      <c r="AO187" s="54">
        <f>H187*0</f>
        <v>0</v>
      </c>
      <c r="AP187" s="54">
        <f>H187*(1-0)</f>
        <v>271.5</v>
      </c>
      <c r="AQ187" s="55" t="s">
        <v>179</v>
      </c>
      <c r="AV187" s="54">
        <f>AW187+AX187</f>
        <v>765.63</v>
      </c>
      <c r="AW187" s="54">
        <f>G187*AO187</f>
        <v>0</v>
      </c>
      <c r="AX187" s="54">
        <f>G187*AP187</f>
        <v>765.63</v>
      </c>
      <c r="AY187" s="55" t="s">
        <v>143</v>
      </c>
      <c r="AZ187" s="55" t="s">
        <v>3</v>
      </c>
      <c r="BA187" s="37" t="s">
        <v>251</v>
      </c>
      <c r="BC187" s="54">
        <f>AW187+AX187</f>
        <v>765.63</v>
      </c>
      <c r="BD187" s="54">
        <f>H187/(100-BE187)*100</f>
        <v>271.5</v>
      </c>
      <c r="BE187" s="54">
        <v>0</v>
      </c>
      <c r="BF187" s="54">
        <f>O187</f>
        <v>0</v>
      </c>
      <c r="BH187" s="54">
        <f>G187*AO187</f>
        <v>0</v>
      </c>
      <c r="BI187" s="54">
        <f>G187*AP187</f>
        <v>765.63</v>
      </c>
      <c r="BJ187" s="54">
        <f>G187*H187</f>
        <v>765.63</v>
      </c>
      <c r="BK187" s="54"/>
      <c r="BL187" s="54"/>
      <c r="BW187" s="54" t="str">
        <f>I187</f>
        <v>21</v>
      </c>
    </row>
    <row r="188" spans="1:16" ht="15">
      <c r="A188" s="57"/>
      <c r="D188" s="58" t="s">
        <v>314</v>
      </c>
      <c r="E188" s="59" t="s">
        <v>224</v>
      </c>
      <c r="G188" s="60">
        <v>2.8200000000000003</v>
      </c>
      <c r="P188" s="61"/>
    </row>
    <row r="189" spans="1:75" ht="15">
      <c r="A189" s="27" t="s">
        <v>145</v>
      </c>
      <c r="B189" s="12" t="s">
        <v>224</v>
      </c>
      <c r="C189" s="12" t="s">
        <v>213</v>
      </c>
      <c r="D189" s="80" t="s">
        <v>153</v>
      </c>
      <c r="E189" s="80"/>
      <c r="F189" s="12" t="s">
        <v>161</v>
      </c>
      <c r="G189" s="54">
        <v>11.28</v>
      </c>
      <c r="H189" s="54">
        <v>25</v>
      </c>
      <c r="I189" s="55" t="s">
        <v>230</v>
      </c>
      <c r="J189" s="54">
        <f>G189*AO189</f>
        <v>0</v>
      </c>
      <c r="K189" s="54">
        <f>G189*AP189</f>
        <v>282</v>
      </c>
      <c r="L189" s="54">
        <f>G189*H189</f>
        <v>282</v>
      </c>
      <c r="M189" s="54">
        <f>L189*(1+BW189/100)</f>
        <v>341.21999999999997</v>
      </c>
      <c r="N189" s="54">
        <v>0</v>
      </c>
      <c r="O189" s="54">
        <f>G189*N189</f>
        <v>0</v>
      </c>
      <c r="P189" s="56" t="s">
        <v>157</v>
      </c>
      <c r="Z189" s="54">
        <f>IF(AQ189="5",BJ189,0)</f>
        <v>282</v>
      </c>
      <c r="AB189" s="54">
        <f>IF(AQ189="1",BH189,0)</f>
        <v>0</v>
      </c>
      <c r="AC189" s="54">
        <f>IF(AQ189="1",BI189,0)</f>
        <v>0</v>
      </c>
      <c r="AD189" s="54">
        <f>IF(AQ189="7",BH189,0)</f>
        <v>0</v>
      </c>
      <c r="AE189" s="54">
        <f>IF(AQ189="7",BI189,0)</f>
        <v>0</v>
      </c>
      <c r="AF189" s="54">
        <f>IF(AQ189="2",BH189,0)</f>
        <v>0</v>
      </c>
      <c r="AG189" s="54">
        <f>IF(AQ189="2",BI189,0)</f>
        <v>0</v>
      </c>
      <c r="AH189" s="54">
        <f>IF(AQ189="0",BJ189,0)</f>
        <v>0</v>
      </c>
      <c r="AI189" s="37" t="s">
        <v>224</v>
      </c>
      <c r="AJ189" s="54">
        <f>IF(AN189=0,L189,0)</f>
        <v>0</v>
      </c>
      <c r="AK189" s="54">
        <f>IF(AN189=12,L189,0)</f>
        <v>0</v>
      </c>
      <c r="AL189" s="54">
        <f>IF(AN189=21,L189,0)</f>
        <v>282</v>
      </c>
      <c r="AN189" s="54">
        <v>21</v>
      </c>
      <c r="AO189" s="54">
        <f>H189*0</f>
        <v>0</v>
      </c>
      <c r="AP189" s="54">
        <f>H189*(1-0)</f>
        <v>25</v>
      </c>
      <c r="AQ189" s="55" t="s">
        <v>179</v>
      </c>
      <c r="AV189" s="54">
        <f>AW189+AX189</f>
        <v>282</v>
      </c>
      <c r="AW189" s="54">
        <f>G189*AO189</f>
        <v>0</v>
      </c>
      <c r="AX189" s="54">
        <f>G189*AP189</f>
        <v>282</v>
      </c>
      <c r="AY189" s="55" t="s">
        <v>143</v>
      </c>
      <c r="AZ189" s="55" t="s">
        <v>3</v>
      </c>
      <c r="BA189" s="37" t="s">
        <v>251</v>
      </c>
      <c r="BC189" s="54">
        <f>AW189+AX189</f>
        <v>282</v>
      </c>
      <c r="BD189" s="54">
        <f>H189/(100-BE189)*100</f>
        <v>25</v>
      </c>
      <c r="BE189" s="54">
        <v>0</v>
      </c>
      <c r="BF189" s="54">
        <f>O189</f>
        <v>0</v>
      </c>
      <c r="BH189" s="54">
        <f>G189*AO189</f>
        <v>0</v>
      </c>
      <c r="BI189" s="54">
        <f>G189*AP189</f>
        <v>282</v>
      </c>
      <c r="BJ189" s="54">
        <f>G189*H189</f>
        <v>282</v>
      </c>
      <c r="BK189" s="54"/>
      <c r="BL189" s="54"/>
      <c r="BW189" s="54" t="str">
        <f>I189</f>
        <v>21</v>
      </c>
    </row>
    <row r="190" spans="1:16" ht="15">
      <c r="A190" s="57"/>
      <c r="D190" s="58" t="s">
        <v>319</v>
      </c>
      <c r="E190" s="59" t="s">
        <v>224</v>
      </c>
      <c r="G190" s="60">
        <v>11.280000000000001</v>
      </c>
      <c r="P190" s="61"/>
    </row>
    <row r="191" spans="1:75" ht="15">
      <c r="A191" s="27" t="s">
        <v>164</v>
      </c>
      <c r="B191" s="12" t="s">
        <v>224</v>
      </c>
      <c r="C191" s="12" t="s">
        <v>184</v>
      </c>
      <c r="D191" s="80" t="s">
        <v>126</v>
      </c>
      <c r="E191" s="80"/>
      <c r="F191" s="12" t="s">
        <v>161</v>
      </c>
      <c r="G191" s="54">
        <v>2.82</v>
      </c>
      <c r="H191" s="54">
        <v>2309.99</v>
      </c>
      <c r="I191" s="55" t="s">
        <v>230</v>
      </c>
      <c r="J191" s="54">
        <f>G191*AO191</f>
        <v>0</v>
      </c>
      <c r="K191" s="54">
        <f>G191*AP191</f>
        <v>6514.171799999999</v>
      </c>
      <c r="L191" s="54">
        <f>G191*H191</f>
        <v>6514.171799999999</v>
      </c>
      <c r="M191" s="54">
        <f>L191*(1+BW191/100)</f>
        <v>7882.147877999999</v>
      </c>
      <c r="N191" s="54">
        <v>0</v>
      </c>
      <c r="O191" s="54">
        <f>G191*N191</f>
        <v>0</v>
      </c>
      <c r="P191" s="56" t="s">
        <v>157</v>
      </c>
      <c r="Z191" s="54">
        <f>IF(AQ191="5",BJ191,0)</f>
        <v>6514.171799999999</v>
      </c>
      <c r="AB191" s="54">
        <f>IF(AQ191="1",BH191,0)</f>
        <v>0</v>
      </c>
      <c r="AC191" s="54">
        <f>IF(AQ191="1",BI191,0)</f>
        <v>0</v>
      </c>
      <c r="AD191" s="54">
        <f>IF(AQ191="7",BH191,0)</f>
        <v>0</v>
      </c>
      <c r="AE191" s="54">
        <f>IF(AQ191="7",BI191,0)</f>
        <v>0</v>
      </c>
      <c r="AF191" s="54">
        <f>IF(AQ191="2",BH191,0)</f>
        <v>0</v>
      </c>
      <c r="AG191" s="54">
        <f>IF(AQ191="2",BI191,0)</f>
        <v>0</v>
      </c>
      <c r="AH191" s="54">
        <f>IF(AQ191="0",BJ191,0)</f>
        <v>0</v>
      </c>
      <c r="AI191" s="37" t="s">
        <v>224</v>
      </c>
      <c r="AJ191" s="54">
        <f>IF(AN191=0,L191,0)</f>
        <v>0</v>
      </c>
      <c r="AK191" s="54">
        <f>IF(AN191=12,L191,0)</f>
        <v>0</v>
      </c>
      <c r="AL191" s="54">
        <f>IF(AN191=21,L191,0)</f>
        <v>6514.171799999999</v>
      </c>
      <c r="AN191" s="54">
        <v>21</v>
      </c>
      <c r="AO191" s="54">
        <f>H191*0</f>
        <v>0</v>
      </c>
      <c r="AP191" s="54">
        <f>H191*(1-0)</f>
        <v>2309.99</v>
      </c>
      <c r="AQ191" s="55" t="s">
        <v>179</v>
      </c>
      <c r="AV191" s="54">
        <f>AW191+AX191</f>
        <v>6514.171799999999</v>
      </c>
      <c r="AW191" s="54">
        <f>G191*AO191</f>
        <v>0</v>
      </c>
      <c r="AX191" s="54">
        <f>G191*AP191</f>
        <v>6514.171799999999</v>
      </c>
      <c r="AY191" s="55" t="s">
        <v>143</v>
      </c>
      <c r="AZ191" s="55" t="s">
        <v>3</v>
      </c>
      <c r="BA191" s="37" t="s">
        <v>251</v>
      </c>
      <c r="BC191" s="54">
        <f>AW191+AX191</f>
        <v>6514.171799999999</v>
      </c>
      <c r="BD191" s="54">
        <f>H191/(100-BE191)*100</f>
        <v>2309.99</v>
      </c>
      <c r="BE191" s="54">
        <v>0</v>
      </c>
      <c r="BF191" s="54">
        <f>O191</f>
        <v>0</v>
      </c>
      <c r="BH191" s="54">
        <f>G191*AO191</f>
        <v>0</v>
      </c>
      <c r="BI191" s="54">
        <f>G191*AP191</f>
        <v>6514.171799999999</v>
      </c>
      <c r="BJ191" s="54">
        <f>G191*H191</f>
        <v>6514.171799999999</v>
      </c>
      <c r="BK191" s="54"/>
      <c r="BL191" s="54"/>
      <c r="BW191" s="54" t="str">
        <f>I191</f>
        <v>21</v>
      </c>
    </row>
    <row r="192" spans="1:16" ht="15">
      <c r="A192" s="57"/>
      <c r="D192" s="58" t="s">
        <v>314</v>
      </c>
      <c r="E192" s="59" t="s">
        <v>224</v>
      </c>
      <c r="G192" s="60">
        <v>2.8200000000000003</v>
      </c>
      <c r="P192" s="61"/>
    </row>
    <row r="193" spans="1:35" ht="15">
      <c r="A193" s="51" t="s">
        <v>224</v>
      </c>
      <c r="B193" s="7" t="s">
        <v>224</v>
      </c>
      <c r="C193" s="7" t="s">
        <v>224</v>
      </c>
      <c r="D193" s="133" t="s">
        <v>193</v>
      </c>
      <c r="E193" s="133"/>
      <c r="F193" s="52" t="s">
        <v>310</v>
      </c>
      <c r="G193" s="52" t="s">
        <v>310</v>
      </c>
      <c r="H193" s="52" t="s">
        <v>310</v>
      </c>
      <c r="I193" s="52" t="s">
        <v>310</v>
      </c>
      <c r="J193" s="29">
        <f>J194</f>
        <v>0</v>
      </c>
      <c r="K193" s="29">
        <f>K194</f>
        <v>50000</v>
      </c>
      <c r="L193" s="29">
        <f>L194</f>
        <v>50000</v>
      </c>
      <c r="M193" s="29">
        <f>M194</f>
        <v>60500</v>
      </c>
      <c r="N193" s="37" t="s">
        <v>224</v>
      </c>
      <c r="O193" s="29">
        <f>O194</f>
        <v>0</v>
      </c>
      <c r="P193" s="53" t="s">
        <v>224</v>
      </c>
      <c r="AI193" s="37" t="s">
        <v>224</v>
      </c>
    </row>
    <row r="194" spans="1:47" ht="15">
      <c r="A194" s="51" t="s">
        <v>224</v>
      </c>
      <c r="B194" s="7" t="s">
        <v>224</v>
      </c>
      <c r="C194" s="7" t="s">
        <v>12</v>
      </c>
      <c r="D194" s="133" t="s">
        <v>37</v>
      </c>
      <c r="E194" s="133"/>
      <c r="F194" s="52" t="s">
        <v>310</v>
      </c>
      <c r="G194" s="52" t="s">
        <v>310</v>
      </c>
      <c r="H194" s="52" t="s">
        <v>310</v>
      </c>
      <c r="I194" s="52" t="s">
        <v>310</v>
      </c>
      <c r="J194" s="29">
        <f>SUM(J195:J195)</f>
        <v>0</v>
      </c>
      <c r="K194" s="29">
        <f>SUM(K195:K195)</f>
        <v>50000</v>
      </c>
      <c r="L194" s="29">
        <f>SUM(L195:L195)</f>
        <v>50000</v>
      </c>
      <c r="M194" s="29">
        <f>SUM(M195:M195)</f>
        <v>60500</v>
      </c>
      <c r="N194" s="37" t="s">
        <v>224</v>
      </c>
      <c r="O194" s="29">
        <f>SUM(O195:O195)</f>
        <v>0</v>
      </c>
      <c r="P194" s="53" t="s">
        <v>224</v>
      </c>
      <c r="AI194" s="37" t="s">
        <v>224</v>
      </c>
      <c r="AS194" s="29">
        <f>SUM(AJ195:AJ195)</f>
        <v>0</v>
      </c>
      <c r="AT194" s="29">
        <f>SUM(AK195:AK195)</f>
        <v>0</v>
      </c>
      <c r="AU194" s="29">
        <f>SUM(AL195:AL195)</f>
        <v>50000</v>
      </c>
    </row>
    <row r="195" spans="1:75" ht="25.5">
      <c r="A195" s="27" t="s">
        <v>309</v>
      </c>
      <c r="B195" s="12" t="s">
        <v>224</v>
      </c>
      <c r="C195" s="12" t="s">
        <v>214</v>
      </c>
      <c r="D195" s="80" t="s">
        <v>37</v>
      </c>
      <c r="E195" s="80"/>
      <c r="F195" s="12" t="s">
        <v>218</v>
      </c>
      <c r="G195" s="54">
        <v>1</v>
      </c>
      <c r="H195" s="54">
        <v>50000</v>
      </c>
      <c r="I195" s="55" t="s">
        <v>230</v>
      </c>
      <c r="J195" s="54">
        <f>G195*AO195</f>
        <v>0</v>
      </c>
      <c r="K195" s="54">
        <f>G195*AP195</f>
        <v>50000</v>
      </c>
      <c r="L195" s="54">
        <f>G195*H195</f>
        <v>50000</v>
      </c>
      <c r="M195" s="54">
        <f>L195*(1+BW195/100)</f>
        <v>60500</v>
      </c>
      <c r="N195" s="54">
        <v>0</v>
      </c>
      <c r="O195" s="54">
        <f>G195*N195</f>
        <v>0</v>
      </c>
      <c r="P195" s="56" t="s">
        <v>224</v>
      </c>
      <c r="Z195" s="54">
        <f>IF(AQ195="5",BJ195,0)</f>
        <v>0</v>
      </c>
      <c r="AB195" s="54">
        <f>IF(AQ195="1",BH195,0)</f>
        <v>0</v>
      </c>
      <c r="AC195" s="54">
        <f>IF(AQ195="1",BI195,0)</f>
        <v>0</v>
      </c>
      <c r="AD195" s="54">
        <f>IF(AQ195="7",BH195,0)</f>
        <v>0</v>
      </c>
      <c r="AE195" s="54">
        <f>IF(AQ195="7",BI195,0)</f>
        <v>0</v>
      </c>
      <c r="AF195" s="54">
        <f>IF(AQ195="2",BH195,0)</f>
        <v>0</v>
      </c>
      <c r="AG195" s="54">
        <f>IF(AQ195="2",BI195,0)</f>
        <v>0</v>
      </c>
      <c r="AH195" s="54">
        <f>IF(AQ195="0",BJ195,0)</f>
        <v>0</v>
      </c>
      <c r="AI195" s="37" t="s">
        <v>224</v>
      </c>
      <c r="AJ195" s="54">
        <f>IF(AN195=0,L195,0)</f>
        <v>0</v>
      </c>
      <c r="AK195" s="54">
        <f>IF(AN195=12,L195,0)</f>
        <v>0</v>
      </c>
      <c r="AL195" s="54">
        <f>IF(AN195=21,L195,0)</f>
        <v>50000</v>
      </c>
      <c r="AN195" s="54">
        <v>21</v>
      </c>
      <c r="AO195" s="54">
        <f>H195*0</f>
        <v>0</v>
      </c>
      <c r="AP195" s="54">
        <f>H195*(1-0)</f>
        <v>50000</v>
      </c>
      <c r="AQ195" s="55" t="s">
        <v>166</v>
      </c>
      <c r="AV195" s="54">
        <f>AW195+AX195</f>
        <v>50000</v>
      </c>
      <c r="AW195" s="54">
        <f>G195*AO195</f>
        <v>0</v>
      </c>
      <c r="AX195" s="54">
        <f>G195*AP195</f>
        <v>50000</v>
      </c>
      <c r="AY195" s="55" t="s">
        <v>67</v>
      </c>
      <c r="AZ195" s="55" t="s">
        <v>303</v>
      </c>
      <c r="BA195" s="37" t="s">
        <v>251</v>
      </c>
      <c r="BC195" s="54">
        <f>AW195+AX195</f>
        <v>50000</v>
      </c>
      <c r="BD195" s="54">
        <f>H195/(100-BE195)*100</f>
        <v>50000</v>
      </c>
      <c r="BE195" s="54">
        <v>0</v>
      </c>
      <c r="BF195" s="54">
        <f>O195</f>
        <v>0</v>
      </c>
      <c r="BH195" s="54">
        <f>G195*AO195</f>
        <v>0</v>
      </c>
      <c r="BI195" s="54">
        <f>G195*AP195</f>
        <v>50000</v>
      </c>
      <c r="BJ195" s="54">
        <f>G195*H195</f>
        <v>50000</v>
      </c>
      <c r="BK195" s="54"/>
      <c r="BL195" s="54"/>
      <c r="BO195" s="54">
        <f>G195*H195</f>
        <v>50000</v>
      </c>
      <c r="BW195" s="54" t="str">
        <f>I195</f>
        <v>21</v>
      </c>
    </row>
    <row r="196" spans="1:16" ht="38.25">
      <c r="A196" s="66"/>
      <c r="B196" s="67"/>
      <c r="C196" s="67"/>
      <c r="D196" s="68" t="s">
        <v>338</v>
      </c>
      <c r="E196" s="69" t="s">
        <v>274</v>
      </c>
      <c r="F196" s="67"/>
      <c r="G196" s="70">
        <v>1</v>
      </c>
      <c r="H196" s="67"/>
      <c r="I196" s="67"/>
      <c r="J196" s="67"/>
      <c r="K196" s="67"/>
      <c r="L196" s="67"/>
      <c r="M196" s="67"/>
      <c r="N196" s="67"/>
      <c r="O196" s="67"/>
      <c r="P196" s="71"/>
    </row>
    <row r="197" spans="10:13" ht="15">
      <c r="J197" s="134" t="s">
        <v>266</v>
      </c>
      <c r="K197" s="134"/>
      <c r="L197" s="72">
        <f>L13+L37+L65+L76+L123+L126+L133+L152+L156+L176+L179+L181+L194</f>
        <v>893776.7275</v>
      </c>
      <c r="M197" s="72">
        <f>M13+M37+M65+M76+M123+M126+M133+M152+M156+M176+M179+M181+M194</f>
        <v>1081469.8402749998</v>
      </c>
    </row>
    <row r="198" ht="45">
      <c r="A198" s="73" t="s">
        <v>29</v>
      </c>
    </row>
    <row r="199" spans="1:16" ht="15">
      <c r="A199" s="80" t="s">
        <v>265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</row>
  </sheetData>
  <sheetProtection/>
  <mergeCells count="110">
    <mergeCell ref="A1:P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D6:E7"/>
    <mergeCell ref="D8:E9"/>
    <mergeCell ref="H2:H3"/>
    <mergeCell ref="H4:H5"/>
    <mergeCell ref="H6:H7"/>
    <mergeCell ref="H8:H9"/>
    <mergeCell ref="J2:P3"/>
    <mergeCell ref="J4:P5"/>
    <mergeCell ref="J6:P7"/>
    <mergeCell ref="J8:P9"/>
    <mergeCell ref="D10:E10"/>
    <mergeCell ref="I4:I5"/>
    <mergeCell ref="I6:I7"/>
    <mergeCell ref="I8:I9"/>
    <mergeCell ref="D2:E3"/>
    <mergeCell ref="D4:E5"/>
    <mergeCell ref="D11:E11"/>
    <mergeCell ref="J10:L10"/>
    <mergeCell ref="N10:O10"/>
    <mergeCell ref="D12:E12"/>
    <mergeCell ref="D13:E13"/>
    <mergeCell ref="D14:E14"/>
    <mergeCell ref="D15:P15"/>
    <mergeCell ref="D20:E20"/>
    <mergeCell ref="D21:P21"/>
    <mergeCell ref="D25:E25"/>
    <mergeCell ref="D27:E27"/>
    <mergeCell ref="D31:E31"/>
    <mergeCell ref="D32:P32"/>
    <mergeCell ref="D37:E37"/>
    <mergeCell ref="D38:E38"/>
    <mergeCell ref="D39:P39"/>
    <mergeCell ref="D44:E44"/>
    <mergeCell ref="D49:E49"/>
    <mergeCell ref="D50:P50"/>
    <mergeCell ref="D55:E55"/>
    <mergeCell ref="D60:E60"/>
    <mergeCell ref="D65:E65"/>
    <mergeCell ref="D66:E66"/>
    <mergeCell ref="D70:E70"/>
    <mergeCell ref="D71:P71"/>
    <mergeCell ref="D75:E75"/>
    <mergeCell ref="D76:E76"/>
    <mergeCell ref="D77:E77"/>
    <mergeCell ref="D80:E80"/>
    <mergeCell ref="D84:E84"/>
    <mergeCell ref="D88:E88"/>
    <mergeCell ref="D92:E92"/>
    <mergeCell ref="D94:E94"/>
    <mergeCell ref="D98:E98"/>
    <mergeCell ref="D100:E100"/>
    <mergeCell ref="D104:E104"/>
    <mergeCell ref="D106:E106"/>
    <mergeCell ref="D108:E108"/>
    <mergeCell ref="D110:E110"/>
    <mergeCell ref="D112:E112"/>
    <mergeCell ref="D114:E114"/>
    <mergeCell ref="D116:E116"/>
    <mergeCell ref="D117:P117"/>
    <mergeCell ref="D122:E122"/>
    <mergeCell ref="D123:E123"/>
    <mergeCell ref="D124:E124"/>
    <mergeCell ref="D126:E126"/>
    <mergeCell ref="D127:E127"/>
    <mergeCell ref="D128:P128"/>
    <mergeCell ref="D130:E130"/>
    <mergeCell ref="D133:E133"/>
    <mergeCell ref="D134:E134"/>
    <mergeCell ref="D135:P135"/>
    <mergeCell ref="D138:E138"/>
    <mergeCell ref="D139:P139"/>
    <mergeCell ref="D142:E142"/>
    <mergeCell ref="D147:E147"/>
    <mergeCell ref="D152:E152"/>
    <mergeCell ref="D153:E153"/>
    <mergeCell ref="D156:E156"/>
    <mergeCell ref="D157:E157"/>
    <mergeCell ref="D159:E159"/>
    <mergeCell ref="D161:E161"/>
    <mergeCell ref="D163:E163"/>
    <mergeCell ref="D165:E165"/>
    <mergeCell ref="D168:E168"/>
    <mergeCell ref="D170:E170"/>
    <mergeCell ref="D172:E172"/>
    <mergeCell ref="D176:E176"/>
    <mergeCell ref="D177:E177"/>
    <mergeCell ref="D179:E179"/>
    <mergeCell ref="D180:E180"/>
    <mergeCell ref="D181:E181"/>
    <mergeCell ref="D182:E182"/>
    <mergeCell ref="D183:E183"/>
    <mergeCell ref="D185:E185"/>
    <mergeCell ref="D187:E187"/>
    <mergeCell ref="D189:E189"/>
    <mergeCell ref="D191:E191"/>
    <mergeCell ref="D193:E193"/>
    <mergeCell ref="D194:E194"/>
    <mergeCell ref="D195:E195"/>
    <mergeCell ref="J197:K197"/>
    <mergeCell ref="A199:P199"/>
  </mergeCells>
  <printOptions/>
  <pageMargins left="0.394" right="0.394" top="0.591" bottom="0.591" header="0" footer="0"/>
  <pageSetup firstPageNumber="0" useFirstPageNumber="1"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David HOLINKA</cp:lastModifiedBy>
  <cp:lastPrinted>2024-01-26T09:58:44Z</cp:lastPrinted>
  <dcterms:created xsi:type="dcterms:W3CDTF">2021-06-10T20:06:38Z</dcterms:created>
  <dcterms:modified xsi:type="dcterms:W3CDTF">2024-03-20T06:53:28Z</dcterms:modified>
  <cp:category/>
  <cp:version/>
  <cp:contentType/>
  <cp:contentStatus/>
</cp:coreProperties>
</file>