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krycí list" sheetId="1" r:id="rId1"/>
    <sheet name="Krycí list rozpočtu" sheetId="2" r:id="rId2"/>
    <sheet name="Stavební rozpočet" sheetId="3" r:id="rId3"/>
  </sheets>
  <definedNames>
    <definedName name="_xlnm.Print_Titles" localSheetId="2">'Stavební rozpočet'!$10:$12</definedName>
  </definedNames>
  <calcPr fullCalcOnLoad="1"/>
</workbook>
</file>

<file path=xl/sharedStrings.xml><?xml version="1.0" encoding="utf-8"?>
<sst xmlns="http://schemas.openxmlformats.org/spreadsheetml/2006/main" count="2356" uniqueCount="922">
  <si>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</si>
  <si>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</si>
  <si>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</si>
  <si>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</si>
  <si>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</si>
  <si>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</si>
  <si>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</si>
  <si>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</si>
  <si>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</si>
  <si>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</si>
  <si>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</si>
  <si>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</si>
  <si>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</si>
  <si>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</si>
  <si>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</si>
  <si>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</si>
  <si>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</si>
  <si>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</si>
  <si>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</si>
  <si>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</si>
  <si>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</si>
  <si>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</si>
  <si>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</si>
  <si>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</si>
  <si>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</si>
  <si>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</si>
  <si>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</si>
  <si>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</si>
  <si>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</si>
  <si>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</si>
  <si>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</si>
  <si>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</si>
  <si>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</si>
  <si>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</si>
  <si>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</si>
  <si>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</si>
  <si>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</si>
  <si>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</si>
  <si>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</si>
  <si>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</si>
  <si>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</si>
  <si>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</si>
  <si>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</si>
  <si>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</si>
  <si>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</si>
  <si>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</si>
  <si>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</si>
  <si>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</si>
  <si>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</si>
  <si>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</si>
  <si>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</si>
  <si>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</si>
  <si>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</si>
  <si>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</si>
  <si>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</si>
  <si>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</si>
  <si>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</si>
  <si>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</si>
  <si>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</si>
  <si>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</si>
  <si>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</si>
  <si>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</si>
  <si>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</si>
  <si>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</si>
  <si>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</si>
  <si>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</si>
  <si>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</si>
  <si>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</si>
  <si>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</si>
  <si>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</si>
  <si>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</si>
  <si>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</si>
  <si>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</si>
  <si>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</si>
  <si>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</si>
  <si>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</si>
  <si>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</si>
  <si>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</si>
  <si>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</si>
  <si>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</si>
  <si>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</si>
  <si>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</si>
  <si>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</si>
  <si>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</si>
  <si>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</si>
  <si>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</si>
  <si>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</si>
  <si>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</si>
  <si>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</si>
  <si>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</si>
  <si>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</si>
  <si>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</si>
  <si>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</si>
  <si>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</si>
  <si>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</si>
  <si>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</si>
  <si>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</si>
  <si>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</si>
  <si>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</si>
  <si>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</si>
  <si>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</si>
  <si>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</si>
  <si>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</si>
  <si>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</si>
  <si>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</si>
  <si>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</si>
  <si>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</si>
  <si>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</si>
  <si>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</si>
  <si>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</si>
  <si>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</si>
  <si>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</si>
  <si>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</si>
  <si>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</si>
  <si>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</si>
  <si>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</si>
  <si>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</si>
  <si>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</si>
  <si>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</si>
  <si>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</si>
  <si>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</si>
  <si>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</si>
  <si>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</si>
  <si>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</si>
  <si>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</si>
  <si>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</si>
  <si>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</si>
  <si>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</si>
  <si>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</si>
  <si>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</si>
  <si>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</si>
  <si>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</si>
  <si>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</si>
  <si>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</si>
  <si>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</si>
  <si>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</si>
  <si>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</si>
  <si>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</si>
  <si>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</si>
  <si>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</si>
  <si>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</si>
  <si>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</si>
  <si>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</si>
  <si>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</si>
  <si>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</si>
  <si>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</si>
  <si>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</si>
  <si>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</si>
  <si>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</si>
  <si>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</si>
  <si>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</si>
  <si>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</si>
  <si>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</si>
  <si>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</si>
  <si>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</si>
  <si>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</si>
  <si>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</si>
  <si>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</si>
  <si>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</si>
  <si>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</si>
  <si>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</si>
  <si>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</si>
  <si>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</si>
  <si>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</si>
  <si>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</si>
  <si>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</si>
  <si>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</si>
  <si>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</si>
  <si>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</si>
  <si>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</si>
  <si>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</si>
  <si>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</si>
  <si>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</si>
  <si>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</si>
  <si>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</si>
  <si>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</si>
  <si>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</si>
  <si>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</si>
  <si>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</si>
  <si>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</si>
  <si>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</si>
  <si>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</si>
  <si>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</si>
  <si>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</si>
  <si>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</si>
  <si>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</si>
  <si>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</si>
  <si>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</si>
  <si>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</si>
  <si>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</si>
  <si>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</si>
  <si>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</si>
  <si>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</si>
  <si>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</si>
  <si>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</si>
  <si>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</si>
  <si>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</si>
  <si>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</si>
  <si>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Poznámka:</t>
  </si>
  <si>
    <t>Objekt</t>
  </si>
  <si>
    <t>03</t>
  </si>
  <si>
    <t>Kód</t>
  </si>
  <si>
    <t>115101201R00</t>
  </si>
  <si>
    <t>115101301R00</t>
  </si>
  <si>
    <t>113106121R00</t>
  </si>
  <si>
    <t>111203201R00</t>
  </si>
  <si>
    <t>119001411R00</t>
  </si>
  <si>
    <t>119001421R00</t>
  </si>
  <si>
    <t>113204111R00</t>
  </si>
  <si>
    <t>121101100R00</t>
  </si>
  <si>
    <t>131201201R00</t>
  </si>
  <si>
    <t>131202509R00</t>
  </si>
  <si>
    <t>132201212R00</t>
  </si>
  <si>
    <t>132201110R00</t>
  </si>
  <si>
    <t>132201219R00</t>
  </si>
  <si>
    <t>130001101R00</t>
  </si>
  <si>
    <t>14172110nab1</t>
  </si>
  <si>
    <t>14362526</t>
  </si>
  <si>
    <t>151101101R00</t>
  </si>
  <si>
    <t>151101111R00</t>
  </si>
  <si>
    <t>151101102R00</t>
  </si>
  <si>
    <t>151101112R00</t>
  </si>
  <si>
    <t>151201401R00</t>
  </si>
  <si>
    <t>151201201R00</t>
  </si>
  <si>
    <t>151201411R00</t>
  </si>
  <si>
    <t>151201402R00</t>
  </si>
  <si>
    <t>151201212R00</t>
  </si>
  <si>
    <t>151201302R00</t>
  </si>
  <si>
    <t>151201312R00</t>
  </si>
  <si>
    <t>161101101R00</t>
  </si>
  <si>
    <t>162701105R00</t>
  </si>
  <si>
    <t>162702199R00</t>
  </si>
  <si>
    <t>162501102R00</t>
  </si>
  <si>
    <t>167101102R00</t>
  </si>
  <si>
    <t>171201201R00</t>
  </si>
  <si>
    <t>174101101R00</t>
  </si>
  <si>
    <t>175101101R00</t>
  </si>
  <si>
    <t>58337304</t>
  </si>
  <si>
    <t>181301103R00</t>
  </si>
  <si>
    <t>180402111R00</t>
  </si>
  <si>
    <t>183403153R00</t>
  </si>
  <si>
    <t>182001112R00</t>
  </si>
  <si>
    <t>00572410</t>
  </si>
  <si>
    <t>184807111R00</t>
  </si>
  <si>
    <t>184807112R00</t>
  </si>
  <si>
    <t>320101112R00</t>
  </si>
  <si>
    <t>592261027</t>
  </si>
  <si>
    <t>592261022</t>
  </si>
  <si>
    <t>592261020</t>
  </si>
  <si>
    <t>59226nab1</t>
  </si>
  <si>
    <t>331142011R00</t>
  </si>
  <si>
    <t>3311 nab1</t>
  </si>
  <si>
    <t>388996111R00</t>
  </si>
  <si>
    <t>380321331R00</t>
  </si>
  <si>
    <t>380356211R00</t>
  </si>
  <si>
    <t>380356212R00</t>
  </si>
  <si>
    <t>380361005R00</t>
  </si>
  <si>
    <t>451561111R00</t>
  </si>
  <si>
    <t>451572111R00</t>
  </si>
  <si>
    <t>451577777R00</t>
  </si>
  <si>
    <t>451575111R00</t>
  </si>
  <si>
    <t>452112111R00</t>
  </si>
  <si>
    <t>59224347.A</t>
  </si>
  <si>
    <t>59224348.A</t>
  </si>
  <si>
    <t>59224349.A</t>
  </si>
  <si>
    <t>564861111R00</t>
  </si>
  <si>
    <t>581111001RA0</t>
  </si>
  <si>
    <t>596811111R00</t>
  </si>
  <si>
    <t>59245315</t>
  </si>
  <si>
    <t>592451170</t>
  </si>
  <si>
    <t>597103111RT1</t>
  </si>
  <si>
    <t>5922723331</t>
  </si>
  <si>
    <t>59227243301</t>
  </si>
  <si>
    <t>612401391RT2</t>
  </si>
  <si>
    <t>631313611R00</t>
  </si>
  <si>
    <t>632416240R00</t>
  </si>
  <si>
    <t>721</t>
  </si>
  <si>
    <t>721176223R00</t>
  </si>
  <si>
    <t>721177126R00</t>
  </si>
  <si>
    <t>721194109R00</t>
  </si>
  <si>
    <t>721211550RT1</t>
  </si>
  <si>
    <t>721100902R00</t>
  </si>
  <si>
    <t>721176102R00</t>
  </si>
  <si>
    <t>721242804R00</t>
  </si>
  <si>
    <t>721242111R00</t>
  </si>
  <si>
    <t>724</t>
  </si>
  <si>
    <t>7242nab1</t>
  </si>
  <si>
    <t>7242nab2</t>
  </si>
  <si>
    <t>7242nab3</t>
  </si>
  <si>
    <t>7242nab4</t>
  </si>
  <si>
    <t>7242nab5</t>
  </si>
  <si>
    <t>7242nab7</t>
  </si>
  <si>
    <t>7242nab8</t>
  </si>
  <si>
    <t>7242nab9</t>
  </si>
  <si>
    <t>725</t>
  </si>
  <si>
    <t>725110811R00</t>
  </si>
  <si>
    <t>725119305R00</t>
  </si>
  <si>
    <t>764</t>
  </si>
  <si>
    <t>764551604R00</t>
  </si>
  <si>
    <t>767</t>
  </si>
  <si>
    <t>767833100R00</t>
  </si>
  <si>
    <t>767995103R00</t>
  </si>
  <si>
    <t>286971894</t>
  </si>
  <si>
    <t>553400404</t>
  </si>
  <si>
    <t>771</t>
  </si>
  <si>
    <t>771212112R00</t>
  </si>
  <si>
    <t>597642021</t>
  </si>
  <si>
    <t>771549792R00</t>
  </si>
  <si>
    <t>784</t>
  </si>
  <si>
    <t>784195122R00</t>
  </si>
  <si>
    <t>871311111R00</t>
  </si>
  <si>
    <t>28614231</t>
  </si>
  <si>
    <t>871351111R00</t>
  </si>
  <si>
    <t>28614235</t>
  </si>
  <si>
    <t>877313123R00</t>
  </si>
  <si>
    <t>28656321</t>
  </si>
  <si>
    <t>28656332</t>
  </si>
  <si>
    <t>871211121R00</t>
  </si>
  <si>
    <t>28613745</t>
  </si>
  <si>
    <t>871371111R00</t>
  </si>
  <si>
    <t>28614238</t>
  </si>
  <si>
    <t>28611272.A</t>
  </si>
  <si>
    <t>894432112R00</t>
  </si>
  <si>
    <t>89001VD</t>
  </si>
  <si>
    <t>892661111R00</t>
  </si>
  <si>
    <t>892663111R00</t>
  </si>
  <si>
    <t>89480001nab1</t>
  </si>
  <si>
    <t>2869716905</t>
  </si>
  <si>
    <t>286971402</t>
  </si>
  <si>
    <t>2869716904</t>
  </si>
  <si>
    <t>2869716902</t>
  </si>
  <si>
    <t>55241704</t>
  </si>
  <si>
    <t>2869nab1</t>
  </si>
  <si>
    <t>2869nab2</t>
  </si>
  <si>
    <t>2869nab3</t>
  </si>
  <si>
    <t>894411121R00</t>
  </si>
  <si>
    <t>899102111R00</t>
  </si>
  <si>
    <t>59224353.A</t>
  </si>
  <si>
    <t>59224356.A</t>
  </si>
  <si>
    <t>59224361.A</t>
  </si>
  <si>
    <t>59224364.A</t>
  </si>
  <si>
    <t>59224366.A</t>
  </si>
  <si>
    <t>59224367.A</t>
  </si>
  <si>
    <t>55340322</t>
  </si>
  <si>
    <t>896211211R00</t>
  </si>
  <si>
    <t>894201121R00</t>
  </si>
  <si>
    <t>900      R01</t>
  </si>
  <si>
    <t>905      R01</t>
  </si>
  <si>
    <t>919735122R00</t>
  </si>
  <si>
    <t>916561111R00</t>
  </si>
  <si>
    <t>59217525</t>
  </si>
  <si>
    <t>939902151R00</t>
  </si>
  <si>
    <t>965043331RT2</t>
  </si>
  <si>
    <t>960111221R00</t>
  </si>
  <si>
    <t>969021121R00</t>
  </si>
  <si>
    <t>969021131R00</t>
  </si>
  <si>
    <t>979081111R00</t>
  </si>
  <si>
    <t>979088212R00</t>
  </si>
  <si>
    <t>979990103R00</t>
  </si>
  <si>
    <t>979084419R00</t>
  </si>
  <si>
    <t>971100021RAB</t>
  </si>
  <si>
    <t>970041300R00</t>
  </si>
  <si>
    <t>970041100R00</t>
  </si>
  <si>
    <t>970043300R00</t>
  </si>
  <si>
    <t>970044300R00</t>
  </si>
  <si>
    <t>970045300R00</t>
  </si>
  <si>
    <t>970047300R00</t>
  </si>
  <si>
    <t>973031335R00</t>
  </si>
  <si>
    <t>974031133R00</t>
  </si>
  <si>
    <t>971033461R00</t>
  </si>
  <si>
    <t>H27</t>
  </si>
  <si>
    <t>998276101R00</t>
  </si>
  <si>
    <t>VRN</t>
  </si>
  <si>
    <t>1101      R00</t>
  </si>
  <si>
    <t>1102      R00</t>
  </si>
  <si>
    <t>1103      R00</t>
  </si>
  <si>
    <t>M21</t>
  </si>
  <si>
    <t>210100020RAC</t>
  </si>
  <si>
    <t>210810016RT1</t>
  </si>
  <si>
    <t>210190051R00</t>
  </si>
  <si>
    <t>210810014RT1</t>
  </si>
  <si>
    <t>210010135R00</t>
  </si>
  <si>
    <t>210040701R00</t>
  </si>
  <si>
    <t>M22</t>
  </si>
  <si>
    <t>220110565R00</t>
  </si>
  <si>
    <t>220110601R00</t>
  </si>
  <si>
    <t>357116411</t>
  </si>
  <si>
    <t>35711751</t>
  </si>
  <si>
    <t>220400030RAB</t>
  </si>
  <si>
    <t>35711nab1</t>
  </si>
  <si>
    <t>35712550</t>
  </si>
  <si>
    <t>M23</t>
  </si>
  <si>
    <t>230200126R00</t>
  </si>
  <si>
    <t>42396017.A</t>
  </si>
  <si>
    <t>273443898</t>
  </si>
  <si>
    <t>239684111R00</t>
  </si>
  <si>
    <t>M46</t>
  </si>
  <si>
    <t>460200253R00</t>
  </si>
  <si>
    <t>460560253R00</t>
  </si>
  <si>
    <t>460420022RT1</t>
  </si>
  <si>
    <t>460490012R00</t>
  </si>
  <si>
    <t>460520201RT1</t>
  </si>
  <si>
    <t>460010024R00</t>
  </si>
  <si>
    <t>Odkanalizování ZŠ Lískovec a požární zbrojnice</t>
  </si>
  <si>
    <t>Kanalizace a čistírna odpadních vod</t>
  </si>
  <si>
    <t>Frýdek-Místek, část Lískovec</t>
  </si>
  <si>
    <t>Zkrácený popis</t>
  </si>
  <si>
    <t>Rozměry</t>
  </si>
  <si>
    <t>Kanalizace ZŠ</t>
  </si>
  <si>
    <t>Přípravné a přidružené práce</t>
  </si>
  <si>
    <t>Čerpání vody na výšku do 10 m, přítok do 500 l/min</t>
  </si>
  <si>
    <t>Pohotovost čerp.soupravy, výška 10 m, přítok 500 l</t>
  </si>
  <si>
    <t>Rozebrání dlažeb z betonových dlaždic na sucho</t>
  </si>
  <si>
    <t>18,00*0,80</t>
  </si>
  <si>
    <t>18,00*1,20</t>
  </si>
  <si>
    <t>100,00   plochy před školou</t>
  </si>
  <si>
    <t>Odstranění křovin s ponech. kořenů, pl.do 1000 m2</t>
  </si>
  <si>
    <t>Dočasné zajištění beton.a plast. potrubí do DN 200</t>
  </si>
  <si>
    <t>3*1,00</t>
  </si>
  <si>
    <t>Dočasné zajištění kabelů - do počtu 3 kabelů</t>
  </si>
  <si>
    <t>2*1,00+15,00</t>
  </si>
  <si>
    <t>Vytrhání obrub záhonových</t>
  </si>
  <si>
    <t>18,00+30,00</t>
  </si>
  <si>
    <t>Odkopávky a prokopávky</t>
  </si>
  <si>
    <t>Sejmutí ornice, pl. do 400 m2, přemístění do 50 m</t>
  </si>
  <si>
    <t>10,00*1,20*0,20   větev B</t>
  </si>
  <si>
    <t>27,50*1,00*0,20   větev C</t>
  </si>
  <si>
    <t>21,00*1,00*0,20   větev DC</t>
  </si>
  <si>
    <t>120,00*0,20   ČOV1 + ČS1</t>
  </si>
  <si>
    <t>Hloubené vykopávky</t>
  </si>
  <si>
    <t>Hloubení zapažených jam v hor.3 do 100 m3</t>
  </si>
  <si>
    <t>ČOV1</t>
  </si>
  <si>
    <t>6,00*4,20*3,13</t>
  </si>
  <si>
    <t>ČS1</t>
  </si>
  <si>
    <t>3,20*3,20*5,46</t>
  </si>
  <si>
    <t>montážní jámy protlaku</t>
  </si>
  <si>
    <t>4,00*2,00*3,00+2,00*2,50*4,00</t>
  </si>
  <si>
    <t>Příplatek za lepivost-výkop pod provizor. v hor.3</t>
  </si>
  <si>
    <t>Hloubení rýh š.do 200 cm hor.3 do 1000m3,STROJNĚ</t>
  </si>
  <si>
    <t>větev B mezi šachtani S14-S15 usek 10,0m, průměrná hloubka 2,30 m</t>
  </si>
  <si>
    <t>10,00*1,20*2,30</t>
  </si>
  <si>
    <t>větev A, průměrná hloubka 3,25m</t>
  </si>
  <si>
    <t>6,50*1,20*3,25</t>
  </si>
  <si>
    <t>Větev D, DA, průměrná hloubka 0,80m</t>
  </si>
  <si>
    <t>(13,50+17,50)*1,00*0,80</t>
  </si>
  <si>
    <t>Větev DC, průměrná hloubka 1,75 m</t>
  </si>
  <si>
    <t>21,00*1,00*1,75</t>
  </si>
  <si>
    <t>větev C, průměrná hloubka 2,0m</t>
  </si>
  <si>
    <t>27,50*1,00*2,00</t>
  </si>
  <si>
    <t>Větev DB, průměrná hloubka 3,10m</t>
  </si>
  <si>
    <t>16,50*1,20*3,10</t>
  </si>
  <si>
    <t>přípojky, průměrná hloubka 1,80m</t>
  </si>
  <si>
    <t>18,00*1,00*1,80</t>
  </si>
  <si>
    <t>263,28*0,10   Rozšíření na revizní šachty a napojení 10%</t>
  </si>
  <si>
    <t>Hloubení rýh š.do 60 cm v hor.3 do 50 m3, STROJNĚ</t>
  </si>
  <si>
    <t>kopané sondy v místě sítí 7 ks</t>
  </si>
  <si>
    <t>7*0,60*2,00*1,50</t>
  </si>
  <si>
    <t>(15,00+19,00)*0,40*0,80   kabeové vedenií</t>
  </si>
  <si>
    <t>Příplatek za lepivost - hloubení rýh 200cm v hor.3</t>
  </si>
  <si>
    <t>Příplatek za ztížené hloubení v blízkosti vedení</t>
  </si>
  <si>
    <t>(3,00+17,00)*1,00*2,00   výkopy v místech křížení sdělovacího kabelu a dalších sítí</t>
  </si>
  <si>
    <t>Ražení a hloubení tunelářské</t>
  </si>
  <si>
    <t>Řízené protlačení ocelového potrubí DN500 mm, hor.1 - 4</t>
  </si>
  <si>
    <t>Trubka lehká se šroub. svarem 11375  530x6 mm</t>
  </si>
  <si>
    <t>Roubení</t>
  </si>
  <si>
    <t>Pažení a rozepření stěn rýh - příložné - hl. do 2m</t>
  </si>
  <si>
    <t>přípojky</t>
  </si>
  <si>
    <t>18,00*1,80*2</t>
  </si>
  <si>
    <t>Odstranění pažení stěn rýh - příložné - hl. do 2 m</t>
  </si>
  <si>
    <t>Pažení a rozepření stěn rýh - příložné - hl. do 4m</t>
  </si>
  <si>
    <t>větev B</t>
  </si>
  <si>
    <t>10,00*2,30*2</t>
  </si>
  <si>
    <t>větev A</t>
  </si>
  <si>
    <t>6,50*3,25*2</t>
  </si>
  <si>
    <t>větev C</t>
  </si>
  <si>
    <t>14,20*3,10*2</t>
  </si>
  <si>
    <t>větev DC</t>
  </si>
  <si>
    <t>27,50*3,00*2</t>
  </si>
  <si>
    <t>větev DB</t>
  </si>
  <si>
    <t>16,50*1,75*2</t>
  </si>
  <si>
    <t>(4,00+2,00)*2*3,00+(2,50+2,00)*2*4,00</t>
  </si>
  <si>
    <t>Odstranění pažení stěn rýh - příložné - hl. do 4 m</t>
  </si>
  <si>
    <t>Vzepření stěn pažení - zátažné - hl. do 4 m</t>
  </si>
  <si>
    <t>ČOV2</t>
  </si>
  <si>
    <t>(6,00+4,20)*2*3,13</t>
  </si>
  <si>
    <t>Pažení stěn výkopu - zátažné - hloubky do 4 m</t>
  </si>
  <si>
    <t>Odstranění vzepření stěn - zátažné - hl. do 4 m</t>
  </si>
  <si>
    <t>Vzepření stěn pažení - zátažné - hl. do 8 m</t>
  </si>
  <si>
    <t>ČS2</t>
  </si>
  <si>
    <t>3,20*4*5,46</t>
  </si>
  <si>
    <t>Odstranění pažení stěn - zátažné - hl. do 8 m</t>
  </si>
  <si>
    <t>Rozepření stěn pažení - zátažné -  hl. do 8 m</t>
  </si>
  <si>
    <t>Odstranění rozepření stěn - zátažné - hl. do 8 m</t>
  </si>
  <si>
    <t>Přemístění výkopku</t>
  </si>
  <si>
    <t>Svislé přemístění výkopku z hor.1-4 do 2,5 m</t>
  </si>
  <si>
    <t>(289,61+178,79+23,48)*0,55</t>
  </si>
  <si>
    <t>Vodorovné přemístění výkopku z hor.1-4 do 10000 m</t>
  </si>
  <si>
    <t>odvoz přebytečné zeminy</t>
  </si>
  <si>
    <t>;šířka rýhy 1,20m; (10,00+6,50+14,20+16,50+21,00)*1,20*0,60</t>
  </si>
  <si>
    <t>;šířka rýhy 1,00m; (13,50+13,50+17,50+18,00)*1,00*0,50</t>
  </si>
  <si>
    <t>;ČOV1; 4,40*2,56*3,13</t>
  </si>
  <si>
    <t>;ČS1; pi*1,801*1,80/4*5,46</t>
  </si>
  <si>
    <t>;kabely; (19,00+25,00)*0,40*0,25</t>
  </si>
  <si>
    <t>Poplatek za skládku zeminy</t>
  </si>
  <si>
    <t>133,91*1,80</t>
  </si>
  <si>
    <t>Vodorovné přemístění výkopku z hor.1-4 do 3000 m</t>
  </si>
  <si>
    <t>odvoz zeminy na meziskládku do 3 km a zpět</t>
  </si>
  <si>
    <t>((289,61+178,79+23,48)-133,91)*2</t>
  </si>
  <si>
    <t>Nakládání výkopku z hor.1-4 v množství nad 100 m3</t>
  </si>
  <si>
    <t>715,94/2</t>
  </si>
  <si>
    <t>Konstrukce ze zemin</t>
  </si>
  <si>
    <t>Uložení sypaniny na skl.-sypanina na výšku přes 2m</t>
  </si>
  <si>
    <t>289,61+178,79+23,48</t>
  </si>
  <si>
    <t>Zásyp jam, rýh, šachet se zhutněním</t>
  </si>
  <si>
    <t>491,88-133,91</t>
  </si>
  <si>
    <t>Obsyp potrubí bez prohození sypaniny</t>
  </si>
  <si>
    <t>;rýha 1,20m; (10,00+14,20+6,50+16,50+21,00)*1,20*0,50</t>
  </si>
  <si>
    <t>odpočet potrubí</t>
  </si>
  <si>
    <t>(10,00+14,20+6,50+16,50+21,00)*0,20*0,20*pi/4*(-1)</t>
  </si>
  <si>
    <t>;rýha 1,00m; (13,30+13,50+17,50+18,00)*1,00*0,40</t>
  </si>
  <si>
    <t>(13,30+13,50+17,50+18,00)*0,15*0,15*pi/4*(-1)</t>
  </si>
  <si>
    <t>Štěrkopísek frakce 0-16 B</t>
  </si>
  <si>
    <t>;obsyp; 62,60*1,67</t>
  </si>
  <si>
    <t>Povrchové úpravy terénu</t>
  </si>
  <si>
    <t>Rozprostření ornice, rovina, tl. 15-20 cm,do 500m2</t>
  </si>
  <si>
    <t>(10,00+27,50+21,00)*1,20+120,00</t>
  </si>
  <si>
    <t>Založení trávníku parkového výsevem v rovině</t>
  </si>
  <si>
    <t>(10,00+27,50+21,00)*3,00+120,00</t>
  </si>
  <si>
    <t>Obdělání půdy hrabáním, v rovině</t>
  </si>
  <si>
    <t>Plošná úprava terénu, nerovnosti do 10 cm svah 1:2</t>
  </si>
  <si>
    <t>Směs travní parková II. mírná zátěž PROFI</t>
  </si>
  <si>
    <t>295,50*0,025</t>
  </si>
  <si>
    <t>Ochrana stromu bedněním - zřízení</t>
  </si>
  <si>
    <t>0,60*2,00*4*2</t>
  </si>
  <si>
    <t>Ochrana stromu bedněním - odstranění</t>
  </si>
  <si>
    <t>Zdi přehradní a opěrné</t>
  </si>
  <si>
    <t>Osazení bet.a ŽB prefabrikátů hmotnosti do 5000 kg</t>
  </si>
  <si>
    <t xml:space="preserve">   Betonové prefabrikáty čerpací stanice</t>
  </si>
  <si>
    <t>Dno nádrže PNK Q.1 150/164 BZP 2,78 m3</t>
  </si>
  <si>
    <t>Skruž nádrže PNK Q.1 150/100 SKP 1,76 m3</t>
  </si>
  <si>
    <t>Deska zákrytová nádrže PNK-Q.1 150-63/17 ZDP</t>
  </si>
  <si>
    <t xml:space="preserve">   upravený vstupní otvor</t>
  </si>
  <si>
    <t>Elastomerové těsnění DN1500</t>
  </si>
  <si>
    <t>Sloupy a pilíře, stožáry a rámové stojky</t>
  </si>
  <si>
    <t>Montáž sloupů hmotnosti do 0,2 t</t>
  </si>
  <si>
    <t xml:space="preserve">   Zpětná montáž vlajkového stožáru</t>
  </si>
  <si>
    <t>Demontáž sloupů hmotnosti do 0,2 t</t>
  </si>
  <si>
    <t xml:space="preserve">   Demontáž vlajkového stožáru</t>
  </si>
  <si>
    <t>Různé kompletní konstrukce nedělitelné do stav. dílů</t>
  </si>
  <si>
    <t>Chránička kabelu z HDPE do DN 63 mm, výkop</t>
  </si>
  <si>
    <t>Beton komplet.konstrukcí železový C 16/20 do 15 cm</t>
  </si>
  <si>
    <t>dno pod ČOV 1</t>
  </si>
  <si>
    <t>4,60*2,80*0,15</t>
  </si>
  <si>
    <t>obetonování nádrže</t>
  </si>
  <si>
    <t>4,40*2,88*0,25*2</t>
  </si>
  <si>
    <t>2,20*2,88*0,25*2</t>
  </si>
  <si>
    <t>dno ČS 1</t>
  </si>
  <si>
    <t>1,80*1,80*0,15</t>
  </si>
  <si>
    <t>Bednění kompl.konstr.omítaných pl.rovinných,zříz.</t>
  </si>
  <si>
    <t>podkladní desky</t>
  </si>
  <si>
    <t>(4,40+2,60)*0,15*4</t>
  </si>
  <si>
    <t>1,80*4*0,15</t>
  </si>
  <si>
    <t>Bednění kompl.konstr.omítaných pl.rovinných,odbed.</t>
  </si>
  <si>
    <t>(4,40+2,60)*2,88*2</t>
  </si>
  <si>
    <t>Výztuž kompletních konstr. ocel 10 425 (BSt 500 S)</t>
  </si>
  <si>
    <t>Podkladní a vedlejší konstrukce (kromě vozovek a železničního svršku)</t>
  </si>
  <si>
    <t>Lože dlažby z kam. drobného drceného tl. do 10 cm</t>
  </si>
  <si>
    <t>100,00</t>
  </si>
  <si>
    <t>Lože pod potrubí z kameniva těženého 0 - 4 mm</t>
  </si>
  <si>
    <t>(10,00+6,50+14,20+16,50+21,00)*1,20*0,15</t>
  </si>
  <si>
    <t>(13,30+13,50+17,50+18,00)*1,00*0,10</t>
  </si>
  <si>
    <t>Podklad pod dlažbu z kameniva těženého tl.do 10 cm</t>
  </si>
  <si>
    <t>Podkladní vrstva tl. do 25 cm ze štěrkopísku</t>
  </si>
  <si>
    <t>;podklad pod ČOV1  ČS 1;</t>
  </si>
  <si>
    <t>4,80*3,00*0,15</t>
  </si>
  <si>
    <t>3,20*3,20*0,15</t>
  </si>
  <si>
    <t>Osazení beton, prstenců pod mříže, výšky do100 mm</t>
  </si>
  <si>
    <t>Prstenec vyrovn šachetní TBW-Q.1 63/4</t>
  </si>
  <si>
    <t>Prstenec vyrovn šachetní TBW-Q.1 63/8</t>
  </si>
  <si>
    <t>Prstenec vyrovn šachetní TBW-Q.1 63/10</t>
  </si>
  <si>
    <t>Podkladní vrstvy komunikací a zpevněných ploch</t>
  </si>
  <si>
    <t>Podklad ze štěrkodrti po zhutnění tloušťky 20 cm</t>
  </si>
  <si>
    <t>17,50*1,00   větev DA</t>
  </si>
  <si>
    <t>136,00   dlažba</t>
  </si>
  <si>
    <t>Cementobetonové kryty pozemních komunikací a zpevněných ploch</t>
  </si>
  <si>
    <t>Kryt komunikace pro pěší z betonu tl. 8 cm</t>
  </si>
  <si>
    <t>17,50*1,00</t>
  </si>
  <si>
    <t>Dlažby a předlažby pozemních komunikací a zpevněných ploch</t>
  </si>
  <si>
    <t>Kladení dlaždic kom.pro pěší, lože z kameniva těž.</t>
  </si>
  <si>
    <t>Dlaždice betonová  30x30x4,5 cm šedá</t>
  </si>
  <si>
    <t>Dlažba HOLLAND I 20x10x8 cm přírodní</t>
  </si>
  <si>
    <t>Montáž vpusti pro žlaby polymerbetonové</t>
  </si>
  <si>
    <t>Vpust V 150 DN 150 ve spádu 0,5% hrana pozink, dílec 1 m</t>
  </si>
  <si>
    <t>Stěna čelní žlabu MultiDrainV150 0-20 hrana pozink</t>
  </si>
  <si>
    <t>Úprava povrchů vnitřní</t>
  </si>
  <si>
    <t>Omítka malých ploch vnitřních stěn do 1 m2</t>
  </si>
  <si>
    <t>Podlahy a podlahové konstrukce</t>
  </si>
  <si>
    <t>Mazanina betonová tl. 8 - 12 cm C 16/20</t>
  </si>
  <si>
    <t>1,50*0,15</t>
  </si>
  <si>
    <t>Potěr betonový PROFI, silo, tl. 40 mm</t>
  </si>
  <si>
    <t>Vnitřní kanalizace</t>
  </si>
  <si>
    <t>Potrubí KG svodné (ležaté) v zemi D 125 x 3,2 mm</t>
  </si>
  <si>
    <t>Čisticí kus pro POLO-KAL NG, odpadní svislé D 125</t>
  </si>
  <si>
    <t>Vyvedení odpadních výpustek D 110 x 2,3</t>
  </si>
  <si>
    <t>Vpusť dvorní HL616, klapka, lapač, příruba</t>
  </si>
  <si>
    <t>Oprava - přetěsnění hrdla odpadního potrubí DN 100</t>
  </si>
  <si>
    <t>Potrubí HT připojovací D 40 x 1,8 mm</t>
  </si>
  <si>
    <t>Demontáž lapače střešních splavenin DN 125</t>
  </si>
  <si>
    <t>Lapač střešních splavenin PP HL660 D 125 mm</t>
  </si>
  <si>
    <t>Strojní vybavení</t>
  </si>
  <si>
    <t>Potrubí, tvarovky, spojovací materiál v provedení PP DN50  2x5,00 m</t>
  </si>
  <si>
    <t>Čerpadlo kalové ponorné 1,00 kW, DN50</t>
  </si>
  <si>
    <t>Spouštěcí zařízení ponorného čerpadla</t>
  </si>
  <si>
    <t>Řetěz pro vytahování čerpadel nerez provedení</t>
  </si>
  <si>
    <t>Vypínání a zapínání čerpadel, signalizace atd.</t>
  </si>
  <si>
    <t>GSM přenos</t>
  </si>
  <si>
    <t>Tlaková sonda, plovákový spínač</t>
  </si>
  <si>
    <t>Doprava a montáž technologie</t>
  </si>
  <si>
    <t>Technická dokumentace, revize, uvedení do provozu</t>
  </si>
  <si>
    <t>Zařizovací předměty</t>
  </si>
  <si>
    <t>Demontáž klozetů splachovacích</t>
  </si>
  <si>
    <t>Montáž klozetových mís kombinovaných</t>
  </si>
  <si>
    <t>Konstrukce klempířské</t>
  </si>
  <si>
    <t>Svod z Ti Zn RHEINZINK, kruhový, D 120 mm</t>
  </si>
  <si>
    <t>Konstrukce doplňkové stavební (zámečnické)</t>
  </si>
  <si>
    <t>Montáž žebříků do zdiva s bočnicemi</t>
  </si>
  <si>
    <t>Výroba a montáž kov. atypických konstr. do 20 kg</t>
  </si>
  <si>
    <t>Žebřík do šachty  L=4,50 m, š. 330mm, kompozit</t>
  </si>
  <si>
    <t>Poklop kompozit, 600x1000 mm</t>
  </si>
  <si>
    <t>Podlahy z dlaždic</t>
  </si>
  <si>
    <t>Kladení dlažby keramické do TM, vel. do 200x200 mm</t>
  </si>
  <si>
    <t>Dlažba Taurus Granit reliéfní 200x200x9 mm</t>
  </si>
  <si>
    <t>Příplatek za podlahy v omezeném prostoru</t>
  </si>
  <si>
    <t>Malby</t>
  </si>
  <si>
    <t>Malba tekutá Standard, barva, 2 x</t>
  </si>
  <si>
    <t>9,00*1,50</t>
  </si>
  <si>
    <t>Potrubí z trub plastických, skleněných a čedičových</t>
  </si>
  <si>
    <t>Montáž trubek z tvrdého PVC ve výkopu d 160 mm</t>
  </si>
  <si>
    <t>47,80+13,50</t>
  </si>
  <si>
    <t>Trubka kanalizační ULTRA-RIB 2 SN 16  150x3000 mm</t>
  </si>
  <si>
    <t>61,30/3</t>
  </si>
  <si>
    <t>;ztratné 5%; 1,0215</t>
  </si>
  <si>
    <t>Montáž trubek z tvrdého PVC ve výkopu d 225 mm</t>
  </si>
  <si>
    <t>27,50+4,50</t>
  </si>
  <si>
    <t>Trubka kanalizační ULTRA-RIB 2 SN 16  200x5000 mm</t>
  </si>
  <si>
    <t>32,00/5</t>
  </si>
  <si>
    <t>;ztratné 5%; 0,32</t>
  </si>
  <si>
    <t>Montáž tvarovek jednoos. plast. gum.kroužek DN 150</t>
  </si>
  <si>
    <t>Odbočka kanalizační na KG ULTRA-RIB2 DN150/150/45°</t>
  </si>
  <si>
    <t>Koleno kanalizační ULTRA-RIB 2  DN 150/30°</t>
  </si>
  <si>
    <t>Montáž trubek polyetylenových ve výkopu d 63 mm</t>
  </si>
  <si>
    <t>2*6,00</t>
  </si>
  <si>
    <t>Trubka tlaková PE HD (PE 80) D 63 x 5,8 mm PN 10</t>
  </si>
  <si>
    <t>Montáž trubek z tvrdého PVC ve výkopu d 315 mm</t>
  </si>
  <si>
    <t>Potrubí UR2 DN300 10,0m dodá objednatel (TS a.s.)</t>
  </si>
  <si>
    <t>17,00+30,7+10,00</t>
  </si>
  <si>
    <t>Trubka kanalizační ULTRA-RIB 2 SN 16  250x5000 mm</t>
  </si>
  <si>
    <t>30,7/5</t>
  </si>
  <si>
    <t>;ztratné 5%; 0,307</t>
  </si>
  <si>
    <t>Trubka kanalizační KGEM SN 8 PVC 315x9,2x5000</t>
  </si>
  <si>
    <t>17,00/5</t>
  </si>
  <si>
    <t>;ztratné 5%; 0,17</t>
  </si>
  <si>
    <t>Ostatní konstrukce a práce na trubním vedení</t>
  </si>
  <si>
    <t>Osazení plastové šachty revizní prům.425 mm</t>
  </si>
  <si>
    <t>Kamerová prohlídka kanalizace</t>
  </si>
  <si>
    <t>Zkouška těsnosti kanalizace DN do 600, vodou</t>
  </si>
  <si>
    <t>123,00+24,00</t>
  </si>
  <si>
    <t>Zabezpečení konců kanal. potrubí DN do 600, vodou</t>
  </si>
  <si>
    <t>Osazení ČOV</t>
  </si>
  <si>
    <t xml:space="preserve">   velikost ČOV 50 EO, kontejnerové provedení</t>
  </si>
  <si>
    <t xml:space="preserve">   dělený laminátový poklop</t>
  </si>
  <si>
    <t xml:space="preserve">   + dmychadlo a připojovací hadice</t>
  </si>
  <si>
    <t>Dno šachtové výkyv. TEGRA 425/150 typ T pro korug.</t>
  </si>
  <si>
    <t>Roura šachtová korugovaná  bez hrdla 425/1500 mm</t>
  </si>
  <si>
    <t>Dno šachtové výkyv. TEGRA 425/150 90° pro korug.</t>
  </si>
  <si>
    <t>Dno šachtové výkyv. TEGRA 425/150 30° pro korug.</t>
  </si>
  <si>
    <t>Poklop litina 425/12,5 t kruhový do teleskopu</t>
  </si>
  <si>
    <t>Čistírna biologická BC 50, 50 EO, kontejnerové provedení</t>
  </si>
  <si>
    <t xml:space="preserve">   součástí je dmychadlo, řídící jednotka se signalizací chodu</t>
  </si>
  <si>
    <t>Kryt ČOV, dělený z laminátu, pochůzný</t>
  </si>
  <si>
    <t>Kontejner dmychadla ČOV, mat. PP</t>
  </si>
  <si>
    <t>Zřízení šachet z dílců, dno C25/30, potrubí DN 300</t>
  </si>
  <si>
    <t xml:space="preserve">   Montáž šachet S15, S16, D1, D4, S4</t>
  </si>
  <si>
    <t xml:space="preserve">   Dílce šachty S15 dodoá objednatel (TS a.s.)</t>
  </si>
  <si>
    <t>Osazení poklopu s rámem do 100 kg</t>
  </si>
  <si>
    <t>Konus šachetní TBR-Q.1 100-63/58/12 KPS</t>
  </si>
  <si>
    <t>Skruž šachetní TBS-Q.1 100/25/12</t>
  </si>
  <si>
    <t>Skruž šachetní TBS-Q.1 100/50/12 PS</t>
  </si>
  <si>
    <t>Skruž šachetní TBS-Q.1 100/100/12 PS</t>
  </si>
  <si>
    <t>Dno šachetní přímé TBZ-Q.1 100/60 V max. 40</t>
  </si>
  <si>
    <t>Dno šachetní přímé TBZ-Q.1 100/80 V max. 50</t>
  </si>
  <si>
    <t>Poklop D 400 - BEGU B-1, bet. výplň, bez odvětrání</t>
  </si>
  <si>
    <t>Spadiště kanal. z betonu jednod.,dno čedič, DN 300</t>
  </si>
  <si>
    <t>Dno šachet z betonu C 16/20, tl. nad 20 cm</t>
  </si>
  <si>
    <t>0,40*0,50/2*pi*1,50   spádový beton v čerpací stanici</t>
  </si>
  <si>
    <t>Hodinové zúčtovací sazby (HZS)</t>
  </si>
  <si>
    <t>HZS, zednická výpomoc, úpravy v objektu</t>
  </si>
  <si>
    <t>Hzs-revize provoz.souboru a st.obj.</t>
  </si>
  <si>
    <t>Doplňující konstrukce a práce na pozemních komunikacích a zpevněných plochách</t>
  </si>
  <si>
    <t>Řezání stávajícího betonového krytu tl. 5 - 10 cm</t>
  </si>
  <si>
    <t>;větev DA; 17,50*2</t>
  </si>
  <si>
    <t>Osazení záhon.obrubníků do lože z C 12/15 s opěrou</t>
  </si>
  <si>
    <t>18,00*3+30,00</t>
  </si>
  <si>
    <t>Obrubník PARKAN II přírodní 100x5x20 cm</t>
  </si>
  <si>
    <t>Různé dokončovací konstrukce a práce inženýrských staveb</t>
  </si>
  <si>
    <t>Práce pojízd. prostředky - vůz speciální, cisterna</t>
  </si>
  <si>
    <t>Bourání konstrukcí</t>
  </si>
  <si>
    <t>Bourání podkladů bet., potěr tl. 10 cm, pl. 4 m2</t>
  </si>
  <si>
    <t>1,50*0,20</t>
  </si>
  <si>
    <t>Bourání konstrukcí z dílců prefa. betonových a ŽB</t>
  </si>
  <si>
    <t>původní jímka (septik)</t>
  </si>
  <si>
    <t>1,50*2,50*0,30*4+1,50*2,50*0,20</t>
  </si>
  <si>
    <t>;ostatní konstrukce; 1,50</t>
  </si>
  <si>
    <t>Vybourání kanalizačního potrubí DN do 200 mm</t>
  </si>
  <si>
    <t>Vybourání kanalizačního potrubí DN do 300 mm</t>
  </si>
  <si>
    <t>Odvoz suti a vybour. hmot na skládku do 1 km</t>
  </si>
  <si>
    <t>Nakládání suti na dopravní prostředky</t>
  </si>
  <si>
    <t>Poplatek za skládku suti - beton</t>
  </si>
  <si>
    <t>Příplatek za dopravu hmot za každý další 1 km</t>
  </si>
  <si>
    <t>22,20*9</t>
  </si>
  <si>
    <t>Prorážení otvorů a ostatní bourací práce</t>
  </si>
  <si>
    <t>Vybourání otvorů ve zdivu cihelném</t>
  </si>
  <si>
    <t>0,30*0,30*3</t>
  </si>
  <si>
    <t>Vrtání jádrové do prostého betonu do D 300 mm</t>
  </si>
  <si>
    <t>0,15*4</t>
  </si>
  <si>
    <t>Vrtání jádrové do prostého betonu do D 100 mm</t>
  </si>
  <si>
    <t>Příp. za jádr. vrt. ve výšce nad 1,5m B do D 300mm</t>
  </si>
  <si>
    <t>Příp. za jádr. vrt. vodor. ve stěně B do D 300 mm</t>
  </si>
  <si>
    <t>Příp. za šikmé jádr. vrt. v prostém bet.do D 300mm</t>
  </si>
  <si>
    <t>Příp. za časté přem. stroje jád. vrt. B do D 300mm</t>
  </si>
  <si>
    <t>Vysekání kapes zeď cih. MVC pl. 0,16 m2, hl. 30 cm</t>
  </si>
  <si>
    <t>Vysekání rýh ve zdi cihelné 5 x 10 cm</t>
  </si>
  <si>
    <t>Vybourání otv. zeď cihel. pl.0,25 m2, tl.60cm, MVC</t>
  </si>
  <si>
    <t>Vedení trubní dálková a přípojná</t>
  </si>
  <si>
    <t>Přesun hmot, trubní vedení plastová, otevř. výkop</t>
  </si>
  <si>
    <t>Vedlejší rozpočtové náklady</t>
  </si>
  <si>
    <t>Geodetické práce - vytyčení stavby</t>
  </si>
  <si>
    <t>Geodetické práce - zaměření stavby po dokončení</t>
  </si>
  <si>
    <t>Zkouška únosnosti pláně pod komunikací</t>
  </si>
  <si>
    <t>Elektromontáže</t>
  </si>
  <si>
    <t>Přípojka elektro v zemi pro administrativní budovy</t>
  </si>
  <si>
    <t>Kabel CYKY-m 750 V 5 x 2,5 mm2 volně uložený</t>
  </si>
  <si>
    <t>Montáž rozvaděče skříň.,1 pole dělených do 200 kg</t>
  </si>
  <si>
    <t>Kabel CYKY-m 750 V 4 x 16 mm2 volně uložený</t>
  </si>
  <si>
    <t>Trubka ochranná z PE, uložená pevně, DN do 80 mm</t>
  </si>
  <si>
    <t>Drážka pro trubku nebo kabel do D 29 mm</t>
  </si>
  <si>
    <t>Montáže sdělovací a zabezpečovací techniky</t>
  </si>
  <si>
    <t>Montáž celoplech.rozvaděče D 2 do zdi</t>
  </si>
  <si>
    <t>Montáž celoplech.rozvaděče C 1 na podezdívku</t>
  </si>
  <si>
    <t>Rozvaděč elektroměrový plastový ER 112/NVP7P</t>
  </si>
  <si>
    <t>Skříň přípojková plast. SS 200 do výklenku PVE1P-C</t>
  </si>
  <si>
    <t>Telefonní přípojka v zemi 13 účastníků</t>
  </si>
  <si>
    <t xml:space="preserve">   přeložka sdělovacího kabelu CETIN, koordinace prací</t>
  </si>
  <si>
    <t>Vystrojení rozvaděčů</t>
  </si>
  <si>
    <t>Základ ke skříni</t>
  </si>
  <si>
    <t>Montáže potrubí</t>
  </si>
  <si>
    <t>Nasunutí potrubní sekce do ocel.chráničky, DN 500</t>
  </si>
  <si>
    <t>Objímka středicí DN  300 mm</t>
  </si>
  <si>
    <t>Manžeta na chráničky EPDM 324 x 530 mm</t>
  </si>
  <si>
    <t>Bentonitová suspenze pro podzem.stěny - doplnění</t>
  </si>
  <si>
    <t>(0,50*0,50*pi/4-0,30*0,30*pi/4)*13,00   vyplnění mezikruží protlaku bentonitovou suspenzí</t>
  </si>
  <si>
    <t>Zemní práce při montážích</t>
  </si>
  <si>
    <t>Výkop kabelové rýhy 50/70 cm  hor.3</t>
  </si>
  <si>
    <t>Zához rýhy 50/70 cm, hornina třídy 3</t>
  </si>
  <si>
    <t>Zřízení kabelového lože v rýze š. do 65 cm z písku</t>
  </si>
  <si>
    <t>Fólie výstražná z PVC, šířka 33 cm</t>
  </si>
  <si>
    <t>Zajištění otvoru proti vodě</t>
  </si>
  <si>
    <t>Vytýčení kabelové trasy v zastavěném prostoru</t>
  </si>
  <si>
    <t>0,20   Vytyčení podzemní sítí v prostosru stavby kaalizace a ČOV</t>
  </si>
  <si>
    <t>Doba výstavby:</t>
  </si>
  <si>
    <t>Začátek výstavby:</t>
  </si>
  <si>
    <t>Konec výstavby:</t>
  </si>
  <si>
    <t>Zpracováno dne:</t>
  </si>
  <si>
    <t>M.j.</t>
  </si>
  <si>
    <t>h</t>
  </si>
  <si>
    <t>den</t>
  </si>
  <si>
    <t>m2</t>
  </si>
  <si>
    <t>m</t>
  </si>
  <si>
    <t>m3</t>
  </si>
  <si>
    <t>t</t>
  </si>
  <si>
    <t>kg</t>
  </si>
  <si>
    <t>kus</t>
  </si>
  <si>
    <t>soubor</t>
  </si>
  <si>
    <t>úsek</t>
  </si>
  <si>
    <t>sada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</si>
  <si>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</si>
  <si>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</si>
  <si>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</si>
  <si>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</si>
  <si>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</si>
  <si>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</si>
  <si>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</si>
  <si>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</si>
  <si>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</si>
  <si>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</si>
  <si>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</si>
  <si>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</si>
  <si>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Frýdek-Místek</t>
  </si>
  <si>
    <t>Ing. Zdeněk Kocich</t>
  </si>
  <si>
    <t>Josef Rechtik</t>
  </si>
  <si>
    <t>Celkem</t>
  </si>
  <si>
    <t>Hmotnost (t)</t>
  </si>
  <si>
    <t>Cenová</t>
  </si>
  <si>
    <t>soustava</t>
  </si>
  <si>
    <t>RTS II / 2015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</si>
  <si>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</si>
  <si>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</si>
  <si>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</si>
  <si>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</si>
  <si>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</si>
  <si>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</si>
  <si>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</si>
  <si>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</si>
  <si>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</si>
  <si>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</si>
  <si>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</si>
  <si>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</si>
  <si>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</si>
  <si>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</si>
  <si>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</si>
  <si>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13_</t>
  </si>
  <si>
    <t>14_</t>
  </si>
  <si>
    <t>15_</t>
  </si>
  <si>
    <t>16_</t>
  </si>
  <si>
    <t>17_</t>
  </si>
  <si>
    <t>18_</t>
  </si>
  <si>
    <t>32_</t>
  </si>
  <si>
    <t>33_</t>
  </si>
  <si>
    <t>38_</t>
  </si>
  <si>
    <t>45_</t>
  </si>
  <si>
    <t>56_</t>
  </si>
  <si>
    <t>58_</t>
  </si>
  <si>
    <t>59_</t>
  </si>
  <si>
    <t>61_</t>
  </si>
  <si>
    <t>63_</t>
  </si>
  <si>
    <t>721_</t>
  </si>
  <si>
    <t>724_</t>
  </si>
  <si>
    <t>725_</t>
  </si>
  <si>
    <t>764_</t>
  </si>
  <si>
    <t>767_</t>
  </si>
  <si>
    <t>771_</t>
  </si>
  <si>
    <t>784_</t>
  </si>
  <si>
    <t>87_</t>
  </si>
  <si>
    <t>89_</t>
  </si>
  <si>
    <t>90_</t>
  </si>
  <si>
    <t>91_</t>
  </si>
  <si>
    <t>93_</t>
  </si>
  <si>
    <t>96_</t>
  </si>
  <si>
    <t>97_</t>
  </si>
  <si>
    <t>H27_</t>
  </si>
  <si>
    <t>VRN_</t>
  </si>
  <si>
    <t>M21_</t>
  </si>
  <si>
    <t>M22_</t>
  </si>
  <si>
    <t>M23_</t>
  </si>
  <si>
    <t>M46_</t>
  </si>
  <si>
    <t>1_</t>
  </si>
  <si>
    <t>3_</t>
  </si>
  <si>
    <t>4_</t>
  </si>
  <si>
    <t>5_</t>
  </si>
  <si>
    <t>6_</t>
  </si>
  <si>
    <t>72_</t>
  </si>
  <si>
    <t>76_</t>
  </si>
  <si>
    <t>77_</t>
  </si>
  <si>
    <t>78_</t>
  </si>
  <si>
    <t>8_</t>
  </si>
  <si>
    <t>9_</t>
  </si>
  <si>
    <t>03_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</si>
  <si>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</si>
  <si>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</si>
  <si>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</si>
  <si>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</si>
  <si>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</si>
  <si>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</si>
  <si>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</si>
  <si>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</si>
  <si>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</si>
  <si>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</si>
  <si>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</si>
  <si>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</si>
  <si>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</si>
  <si>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</si>
  <si>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</si>
  <si>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</si>
  <si>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</si>
  <si>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</si>
  <si>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</si>
  <si>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</si>
  <si>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Vedlejší náklady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</si>
  <si>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</si>
  <si>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</si>
  <si>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</si>
  <si>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</si>
  <si>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</si>
  <si>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</si>
  <si>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</si>
  <si>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</si>
  <si>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</si>
  <si>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</si>
  <si>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</si>
  <si>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</si>
  <si>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</si>
  <si>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</si>
  <si>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</si>
  <si>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</si>
  <si>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</si>
  <si>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</si>
  <si>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</si>
  <si>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</si>
  <si>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</si>
  <si>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</si>
  <si>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</si>
  <si>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</si>
  <si>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Kunčičky u Bašky 353, 739 01 Baška</t>
  </si>
  <si>
    <t>tel. 603 453 968</t>
  </si>
  <si>
    <t>e-mail: kocich.zdenek@centrum.cz</t>
  </si>
  <si>
    <t>Stavba:</t>
  </si>
  <si>
    <t>Část:</t>
  </si>
  <si>
    <t>Název:</t>
  </si>
  <si>
    <t>Stupeň PD:</t>
  </si>
  <si>
    <t>Vypracoval:</t>
  </si>
  <si>
    <t>Ing. Josef Rechtik</t>
  </si>
  <si>
    <t>Arch.číslo: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</si>
</sst>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[$-405]mmmm\ yy;@"/>
    <numFmt numFmtId="167" formatCode="[$-F800]dddd\,\ mmmm\ dd\,\ yyyy"/>
    <numFmt numFmtId="168" formatCode="[$-405]d\.\ mmmm\ yyyy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8"/>
      <color indexed="49"/>
      <name val="Cambria"/>
      <family val="2"/>
    </font>
    <font>
      <sz val="11"/>
      <color indexed="1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3" fillId="34" borderId="25" xfId="0" applyNumberFormat="1" applyFont="1" applyFill="1" applyBorder="1" applyAlignment="1" applyProtection="1">
      <alignment horizontal="center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5" fillId="0" borderId="25" xfId="0" applyNumberFormat="1" applyFont="1" applyFill="1" applyBorder="1" applyAlignment="1" applyProtection="1">
      <alignment horizontal="right" vertical="center"/>
      <protection/>
    </xf>
    <xf numFmtId="49" fontId="15" fillId="0" borderId="25" xfId="0" applyNumberFormat="1" applyFont="1" applyFill="1" applyBorder="1" applyAlignment="1" applyProtection="1">
      <alignment horizontal="right" vertical="center"/>
      <protection/>
    </xf>
    <xf numFmtId="4" fontId="1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4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35" borderId="0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46" applyFont="1" applyBorder="1" applyAlignment="1">
      <alignment horizontal="right" vertical="center"/>
      <protection/>
    </xf>
    <xf numFmtId="0" fontId="20" fillId="0" borderId="24" xfId="46" applyFont="1" applyBorder="1" applyAlignment="1">
      <alignment horizontal="right" vertical="center"/>
      <protection/>
    </xf>
    <xf numFmtId="0" fontId="20" fillId="0" borderId="0" xfId="46" applyFont="1" applyBorder="1" applyAlignment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31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center"/>
      <protection/>
    </xf>
    <xf numFmtId="0" fontId="21" fillId="0" borderId="35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horizontal="left" vertical="center" indent="1"/>
      <protection/>
    </xf>
    <xf numFmtId="0" fontId="19" fillId="0" borderId="0" xfId="0" applyFont="1" applyAlignment="1" applyProtection="1">
      <alignment vertical="center"/>
      <protection/>
    </xf>
    <xf numFmtId="166" fontId="21" fillId="0" borderId="0" xfId="0" applyNumberFormat="1" applyFont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167" fontId="21" fillId="0" borderId="0" xfId="0" applyNumberFormat="1" applyFont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49" fontId="16" fillId="0" borderId="38" xfId="0" applyNumberFormat="1" applyFont="1" applyFill="1" applyBorder="1" applyAlignment="1" applyProtection="1">
      <alignment horizontal="left" vertical="center"/>
      <protection/>
    </xf>
    <xf numFmtId="0" fontId="16" fillId="0" borderId="34" xfId="0" applyNumberFormat="1" applyFont="1" applyFill="1" applyBorder="1" applyAlignment="1" applyProtection="1">
      <alignment horizontal="left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38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4" fillId="34" borderId="38" xfId="0" applyNumberFormat="1" applyFont="1" applyFill="1" applyBorder="1" applyAlignment="1" applyProtection="1">
      <alignment horizontal="left" vertical="center"/>
      <protection/>
    </xf>
    <xf numFmtId="0" fontId="14" fillId="34" borderId="37" xfId="0" applyNumberFormat="1" applyFont="1" applyFill="1" applyBorder="1" applyAlignment="1" applyProtection="1">
      <alignment horizontal="left" vertical="center"/>
      <protection/>
    </xf>
    <xf numFmtId="49" fontId="15" fillId="0" borderId="39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49" fontId="15" fillId="0" borderId="42" xfId="0" applyNumberFormat="1" applyFont="1" applyFill="1" applyBorder="1" applyAlignment="1" applyProtection="1">
      <alignment horizontal="left" vertical="center"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0" fontId="9" fillId="35" borderId="0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štítky, seznamy Lískovec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808080"/>
      <rgbColor rgb="00000000"/>
      <rgbColor rgb="00C0C0C0"/>
      <rgbColor rgb="00000000"/>
      <rgbColor rgb="00000000"/>
      <rgbColor rgb="00000000"/>
      <rgbColor rgb="00000000"/>
      <rgbColor rgb="00000080"/>
      <rgbColor rgb="00008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1">
      <selection activeCell="E29" sqref="E29"/>
    </sheetView>
  </sheetViews>
  <sheetFormatPr defaultColWidth="15.140625" defaultRowHeight="21" customHeight="1"/>
  <cols>
    <col min="1" max="1" width="2.00390625" style="63" customWidth="1"/>
    <col min="2" max="2" width="23.8515625" style="63" customWidth="1"/>
    <col min="3" max="3" width="3.00390625" style="63" customWidth="1"/>
    <col min="4" max="4" width="15.140625" style="63" customWidth="1"/>
    <col min="5" max="5" width="10.57421875" style="63" customWidth="1"/>
    <col min="6" max="6" width="15.140625" style="63" customWidth="1"/>
    <col min="7" max="7" width="16.28125" style="63" customWidth="1"/>
    <col min="8" max="16384" width="15.140625" style="63" customWidth="1"/>
  </cols>
  <sheetData>
    <row r="1" spans="2:7" ht="15.75" customHeight="1">
      <c r="B1" s="64"/>
      <c r="F1" s="65"/>
      <c r="G1" s="66" t="s">
        <v>798</v>
      </c>
    </row>
    <row r="2" spans="2:7" ht="15.75" customHeight="1">
      <c r="B2" s="64"/>
      <c r="G2" s="67" t="s">
        <v>912</v>
      </c>
    </row>
    <row r="3" spans="2:7" ht="15.75" customHeight="1">
      <c r="B3" s="64"/>
      <c r="G3" s="68" t="s">
        <v>913</v>
      </c>
    </row>
    <row r="4" spans="2:7" s="69" customFormat="1" ht="25.5" customHeight="1">
      <c r="B4" s="70"/>
      <c r="G4" s="68" t="s">
        <v>914</v>
      </c>
    </row>
    <row r="5" spans="2:7" s="71" customFormat="1" ht="21" customHeight="1">
      <c r="B5" s="72"/>
      <c r="C5" s="73"/>
      <c r="D5" s="73"/>
      <c r="E5" s="73"/>
      <c r="F5" s="73"/>
      <c r="G5" s="73"/>
    </row>
    <row r="6" spans="2:7" s="71" customFormat="1" ht="21" customHeight="1">
      <c r="B6" s="74"/>
      <c r="C6" s="75"/>
      <c r="D6" s="75"/>
      <c r="E6" s="75"/>
      <c r="F6" s="75"/>
      <c r="G6" s="75"/>
    </row>
    <row r="7" spans="2:7" s="71" customFormat="1" ht="21" customHeight="1">
      <c r="B7" s="74"/>
      <c r="C7" s="75"/>
      <c r="D7" s="75"/>
      <c r="E7" s="75"/>
      <c r="F7" s="75"/>
      <c r="G7" s="75"/>
    </row>
    <row r="8" spans="2:7" s="71" customFormat="1" ht="21" customHeight="1">
      <c r="B8" s="74"/>
      <c r="C8" s="75"/>
      <c r="D8" s="75"/>
      <c r="E8" s="75"/>
      <c r="F8" s="75"/>
      <c r="G8" s="75"/>
    </row>
    <row r="9" spans="2:7" s="71" customFormat="1" ht="21" customHeight="1">
      <c r="B9" s="74"/>
      <c r="C9" s="75"/>
      <c r="D9" s="75"/>
      <c r="E9" s="75"/>
      <c r="F9" s="75"/>
      <c r="G9" s="75"/>
    </row>
    <row r="10" spans="2:7" s="71" customFormat="1" ht="21" customHeight="1">
      <c r="B10" s="74"/>
      <c r="C10" s="75"/>
      <c r="D10" s="75"/>
      <c r="E10" s="75"/>
      <c r="F10" s="75"/>
      <c r="G10" s="75"/>
    </row>
    <row r="11" spans="2:7" s="71" customFormat="1" ht="21" customHeight="1">
      <c r="B11" s="74"/>
      <c r="C11" s="75"/>
      <c r="D11" s="75"/>
      <c r="E11" s="75"/>
      <c r="F11" s="75"/>
      <c r="G11" s="75"/>
    </row>
    <row r="12" spans="2:7" s="71" customFormat="1" ht="21" customHeight="1">
      <c r="B12" s="74"/>
      <c r="C12" s="75"/>
      <c r="D12" s="75"/>
      <c r="E12" s="75"/>
      <c r="F12" s="75"/>
      <c r="G12" s="75"/>
    </row>
    <row r="13" spans="2:7" s="71" customFormat="1" ht="21" customHeight="1">
      <c r="B13" s="74"/>
      <c r="C13" s="75"/>
      <c r="D13" s="75"/>
      <c r="E13" s="75"/>
      <c r="F13" s="75"/>
      <c r="G13" s="75"/>
    </row>
    <row r="14" spans="2:7" s="71" customFormat="1" ht="21" customHeight="1">
      <c r="B14" s="74"/>
      <c r="C14" s="75"/>
      <c r="D14" s="75"/>
      <c r="E14" s="75"/>
      <c r="F14" s="75"/>
      <c r="G14" s="75"/>
    </row>
    <row r="15" spans="2:7" s="71" customFormat="1" ht="21" customHeight="1">
      <c r="B15" s="74"/>
      <c r="C15" s="75"/>
      <c r="D15" s="75"/>
      <c r="E15" s="75"/>
      <c r="F15" s="75"/>
      <c r="G15" s="75"/>
    </row>
    <row r="16" spans="2:7" s="71" customFormat="1" ht="21" customHeight="1">
      <c r="B16" s="74"/>
      <c r="C16" s="75"/>
      <c r="D16" s="75"/>
      <c r="E16" s="75"/>
      <c r="F16" s="75"/>
      <c r="G16" s="75"/>
    </row>
    <row r="17" spans="2:7" s="71" customFormat="1" ht="21" customHeight="1">
      <c r="B17" s="74"/>
      <c r="C17" s="75"/>
      <c r="D17" s="75"/>
      <c r="E17" s="75"/>
      <c r="F17" s="75"/>
      <c r="G17" s="75"/>
    </row>
    <row r="18" spans="2:7" s="71" customFormat="1" ht="21" customHeight="1">
      <c r="B18" s="74"/>
      <c r="C18" s="75"/>
      <c r="D18" s="75"/>
      <c r="E18" s="75"/>
      <c r="F18" s="75"/>
      <c r="G18" s="75"/>
    </row>
    <row r="19" spans="2:7" s="71" customFormat="1" ht="21" customHeight="1">
      <c r="B19" s="74"/>
      <c r="C19" s="75"/>
      <c r="D19" s="75"/>
      <c r="E19" s="75"/>
      <c r="F19" s="75"/>
      <c r="G19" s="75"/>
    </row>
    <row r="20" spans="2:7" s="71" customFormat="1" ht="21" customHeight="1">
      <c r="B20" s="74"/>
      <c r="C20" s="75"/>
      <c r="D20" s="75"/>
      <c r="E20" s="75"/>
      <c r="F20" s="75"/>
      <c r="G20" s="75"/>
    </row>
    <row r="21" spans="2:7" s="71" customFormat="1" ht="21" customHeight="1">
      <c r="B21" s="74"/>
      <c r="C21" s="75"/>
      <c r="D21" s="75"/>
      <c r="E21" s="75"/>
      <c r="F21" s="75"/>
      <c r="G21" s="75"/>
    </row>
    <row r="22" spans="2:7" s="71" customFormat="1" ht="21" customHeight="1">
      <c r="B22" s="74"/>
      <c r="C22" s="75"/>
      <c r="D22" s="75"/>
      <c r="E22" s="75"/>
      <c r="F22" s="75"/>
      <c r="G22" s="75"/>
    </row>
    <row r="23" spans="2:7" s="71" customFormat="1" ht="21" customHeight="1">
      <c r="B23" s="74"/>
      <c r="C23" s="75"/>
      <c r="D23" s="75"/>
      <c r="E23" s="75"/>
      <c r="F23" s="75"/>
      <c r="G23" s="75"/>
    </row>
    <row r="24" spans="2:7" s="71" customFormat="1" ht="21" customHeight="1">
      <c r="B24" s="74"/>
      <c r="C24" s="75"/>
      <c r="D24" s="75"/>
      <c r="E24" s="75"/>
      <c r="F24" s="75"/>
      <c r="G24" s="75"/>
    </row>
    <row r="25" s="71" customFormat="1" ht="21" customHeight="1">
      <c r="B25" s="74"/>
    </row>
    <row r="26" spans="2:3" s="71" customFormat="1" ht="21" customHeight="1">
      <c r="B26" s="76" t="s">
        <v>915</v>
      </c>
      <c r="C26" s="77" t="str">
        <f>"Odkanalizování ZŠ Lískovec a požární zbrojnice"</f>
        <v>Odkanalizování ZŠ Lískovec a požární zbrojnice</v>
      </c>
    </row>
    <row r="27" spans="2:3" s="71" customFormat="1" ht="21" customHeight="1">
      <c r="B27" s="74"/>
      <c r="C27" s="77"/>
    </row>
    <row r="28" spans="2:4" s="71" customFormat="1" ht="21" customHeight="1">
      <c r="B28" s="76" t="s">
        <v>916</v>
      </c>
      <c r="C28" s="77" t="str">
        <f>"změna b: základní škola"</f>
        <v>změna b: základní škola</v>
      </c>
      <c r="D28" s="77"/>
    </row>
    <row r="29" spans="2:5" s="71" customFormat="1" ht="21" customHeight="1">
      <c r="B29" s="76" t="s">
        <v>917</v>
      </c>
      <c r="C29" s="77">
        <f>13</f>
        <v>13</v>
      </c>
      <c r="D29" s="77" t="str">
        <f>"Soupis prací"</f>
        <v>Soupis prací</v>
      </c>
      <c r="E29" s="77"/>
    </row>
    <row r="30" spans="2:3" s="71" customFormat="1" ht="21" customHeight="1">
      <c r="B30" s="76" t="s">
        <v>918</v>
      </c>
      <c r="C30" s="71" t="str">
        <f>"Dokumentace pro provedení stavby (DPS)"</f>
        <v>Dokumentace pro provedení stavby (DPS)</v>
      </c>
    </row>
    <row r="31" s="71" customFormat="1" ht="21" customHeight="1">
      <c r="B31" s="76"/>
    </row>
    <row r="32" spans="2:3" s="71" customFormat="1" ht="21" customHeight="1">
      <c r="B32" s="76" t="s">
        <v>792</v>
      </c>
      <c r="C32" s="78" t="str">
        <f>"Město Frýdek-Místek"</f>
        <v>Město Frýdek-Místek</v>
      </c>
    </row>
    <row r="33" s="71" customFormat="1" ht="21" customHeight="1">
      <c r="B33" s="76"/>
    </row>
    <row r="34" spans="2:3" s="71" customFormat="1" ht="21" customHeight="1">
      <c r="B34" s="76" t="s">
        <v>919</v>
      </c>
      <c r="C34" s="71" t="s">
        <v>920</v>
      </c>
    </row>
    <row r="35" spans="2:3" s="71" customFormat="1" ht="21" customHeight="1">
      <c r="B35" s="76" t="s">
        <v>921</v>
      </c>
      <c r="C35" s="78" t="str">
        <f>"22/2015"</f>
        <v>22/2015</v>
      </c>
    </row>
    <row r="36" spans="2:4" s="71" customFormat="1" ht="21" customHeight="1">
      <c r="B36" s="76" t="s">
        <v>910</v>
      </c>
      <c r="C36" s="81">
        <v>42486</v>
      </c>
      <c r="D36" s="81"/>
    </row>
  </sheetData>
  <sheetProtection/>
  <mergeCells count="1">
    <mergeCell ref="C36:D3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3"/>
      <c r="B1" s="6"/>
      <c r="C1" s="82" t="s">
        <v>882</v>
      </c>
      <c r="D1" s="83"/>
      <c r="E1" s="83"/>
      <c r="F1" s="83"/>
      <c r="G1" s="83"/>
      <c r="H1" s="83"/>
      <c r="I1" s="83"/>
    </row>
    <row r="2" spans="1:10" ht="12.75">
      <c r="A2" s="84" t="s">
        <v>1</v>
      </c>
      <c r="B2" s="85"/>
      <c r="C2" s="88" t="s">
        <v>403</v>
      </c>
      <c r="D2" s="89"/>
      <c r="E2" s="91" t="s">
        <v>792</v>
      </c>
      <c r="F2" s="91" t="s">
        <v>797</v>
      </c>
      <c r="G2" s="85"/>
      <c r="H2" s="91" t="s">
        <v>908</v>
      </c>
      <c r="I2" s="92"/>
      <c r="J2" s="31"/>
    </row>
    <row r="3" spans="1:10" ht="12.75">
      <c r="A3" s="86"/>
      <c r="B3" s="87"/>
      <c r="C3" s="90"/>
      <c r="D3" s="90"/>
      <c r="E3" s="87"/>
      <c r="F3" s="87"/>
      <c r="G3" s="87"/>
      <c r="H3" s="87"/>
      <c r="I3" s="93"/>
      <c r="J3" s="31"/>
    </row>
    <row r="4" spans="1:10" ht="12.75">
      <c r="A4" s="94" t="s">
        <v>2</v>
      </c>
      <c r="B4" s="87"/>
      <c r="C4" s="95" t="s">
        <v>404</v>
      </c>
      <c r="D4" s="87"/>
      <c r="E4" s="95" t="s">
        <v>793</v>
      </c>
      <c r="F4" s="95" t="s">
        <v>798</v>
      </c>
      <c r="G4" s="87"/>
      <c r="H4" s="95" t="s">
        <v>908</v>
      </c>
      <c r="I4" s="96"/>
      <c r="J4" s="31"/>
    </row>
    <row r="5" spans="1:10" ht="12.75">
      <c r="A5" s="86"/>
      <c r="B5" s="87"/>
      <c r="C5" s="87"/>
      <c r="D5" s="87"/>
      <c r="E5" s="87"/>
      <c r="F5" s="87"/>
      <c r="G5" s="87"/>
      <c r="H5" s="87"/>
      <c r="I5" s="93"/>
      <c r="J5" s="31"/>
    </row>
    <row r="6" spans="1:10" ht="12.75">
      <c r="A6" s="94" t="s">
        <v>3</v>
      </c>
      <c r="B6" s="87"/>
      <c r="C6" s="95" t="s">
        <v>405</v>
      </c>
      <c r="D6" s="87"/>
      <c r="E6" s="95" t="s">
        <v>794</v>
      </c>
      <c r="F6" s="95"/>
      <c r="G6" s="87"/>
      <c r="H6" s="95" t="s">
        <v>908</v>
      </c>
      <c r="I6" s="96"/>
      <c r="J6" s="31"/>
    </row>
    <row r="7" spans="1:10" ht="12.75">
      <c r="A7" s="86"/>
      <c r="B7" s="87"/>
      <c r="C7" s="87"/>
      <c r="D7" s="87"/>
      <c r="E7" s="87"/>
      <c r="F7" s="87"/>
      <c r="G7" s="87"/>
      <c r="H7" s="87"/>
      <c r="I7" s="93"/>
      <c r="J7" s="31"/>
    </row>
    <row r="8" spans="1:10" ht="12.75">
      <c r="A8" s="94" t="s">
        <v>770</v>
      </c>
      <c r="B8" s="87"/>
      <c r="C8" s="97"/>
      <c r="D8" s="87"/>
      <c r="E8" s="95" t="s">
        <v>771</v>
      </c>
      <c r="F8" s="87"/>
      <c r="G8" s="87"/>
      <c r="H8" s="98" t="s">
        <v>909</v>
      </c>
      <c r="I8" s="96" t="s">
        <v>197</v>
      </c>
      <c r="J8" s="31"/>
    </row>
    <row r="9" spans="1:10" ht="12.75">
      <c r="A9" s="86"/>
      <c r="B9" s="87"/>
      <c r="C9" s="87"/>
      <c r="D9" s="87"/>
      <c r="E9" s="87"/>
      <c r="F9" s="87"/>
      <c r="G9" s="87"/>
      <c r="H9" s="87"/>
      <c r="I9" s="93"/>
      <c r="J9" s="31"/>
    </row>
    <row r="10" spans="1:10" ht="12.75">
      <c r="A10" s="94" t="s">
        <v>4</v>
      </c>
      <c r="B10" s="87"/>
      <c r="C10" s="95">
        <v>8141621</v>
      </c>
      <c r="D10" s="87"/>
      <c r="E10" s="95" t="s">
        <v>795</v>
      </c>
      <c r="F10" s="95" t="s">
        <v>799</v>
      </c>
      <c r="G10" s="87"/>
      <c r="H10" s="98" t="s">
        <v>910</v>
      </c>
      <c r="I10" s="101">
        <v>42488</v>
      </c>
      <c r="J10" s="31"/>
    </row>
    <row r="11" spans="1:10" ht="12.75">
      <c r="A11" s="99"/>
      <c r="B11" s="100"/>
      <c r="C11" s="100"/>
      <c r="D11" s="100"/>
      <c r="E11" s="100"/>
      <c r="F11" s="100"/>
      <c r="G11" s="100"/>
      <c r="H11" s="100"/>
      <c r="I11" s="102"/>
      <c r="J11" s="31"/>
    </row>
    <row r="12" spans="1:9" ht="23.25" customHeight="1">
      <c r="A12" s="103" t="s">
        <v>867</v>
      </c>
      <c r="B12" s="104"/>
      <c r="C12" s="104"/>
      <c r="D12" s="104"/>
      <c r="E12" s="104"/>
      <c r="F12" s="104"/>
      <c r="G12" s="104"/>
      <c r="H12" s="104"/>
      <c r="I12" s="104"/>
    </row>
    <row r="13" spans="1:10" ht="26.25" customHeight="1">
      <c r="A13" s="38" t="s">
        <v>868</v>
      </c>
      <c r="B13" s="105" t="s">
        <v>880</v>
      </c>
      <c r="C13" s="106"/>
      <c r="D13" s="38" t="s">
        <v>883</v>
      </c>
      <c r="E13" s="105" t="s">
        <v>893</v>
      </c>
      <c r="F13" s="106"/>
      <c r="G13" s="38" t="s">
        <v>894</v>
      </c>
      <c r="H13" s="105" t="s">
        <v>911</v>
      </c>
      <c r="I13" s="106"/>
      <c r="J13" s="31"/>
    </row>
    <row r="14" spans="1:10" ht="15" customHeight="1">
      <c r="A14" s="39" t="s">
        <v>869</v>
      </c>
      <c r="B14" s="43" t="s">
        <v>881</v>
      </c>
      <c r="C14" s="47">
        <f>SUM('Stavební rozpočet'!R13:R382)</f>
        <v>0</v>
      </c>
      <c r="D14" s="107" t="s">
        <v>884</v>
      </c>
      <c r="E14" s="108"/>
      <c r="F14" s="47">
        <v>0</v>
      </c>
      <c r="G14" s="107" t="s">
        <v>895</v>
      </c>
      <c r="H14" s="108"/>
      <c r="I14" s="47">
        <v>0</v>
      </c>
      <c r="J14" s="31"/>
    </row>
    <row r="15" spans="1:10" ht="15" customHeight="1">
      <c r="A15" s="40"/>
      <c r="B15" s="43" t="s">
        <v>796</v>
      </c>
      <c r="C15" s="47">
        <f>SUM('Stavební rozpočet'!S13:S382)</f>
        <v>0</v>
      </c>
      <c r="D15" s="107" t="s">
        <v>885</v>
      </c>
      <c r="E15" s="108"/>
      <c r="F15" s="47">
        <v>0</v>
      </c>
      <c r="G15" s="107" t="s">
        <v>896</v>
      </c>
      <c r="H15" s="108"/>
      <c r="I15" s="47">
        <v>0</v>
      </c>
      <c r="J15" s="31"/>
    </row>
    <row r="16" spans="1:10" ht="15" customHeight="1">
      <c r="A16" s="39" t="s">
        <v>870</v>
      </c>
      <c r="B16" s="43" t="s">
        <v>881</v>
      </c>
      <c r="C16" s="47">
        <f>SUM('Stavební rozpočet'!T13:T382)</f>
        <v>0</v>
      </c>
      <c r="D16" s="107" t="s">
        <v>886</v>
      </c>
      <c r="E16" s="108"/>
      <c r="F16" s="47">
        <v>0</v>
      </c>
      <c r="G16" s="107" t="s">
        <v>897</v>
      </c>
      <c r="H16" s="108"/>
      <c r="I16" s="47">
        <v>0</v>
      </c>
      <c r="J16" s="31"/>
    </row>
    <row r="17" spans="1:10" ht="15" customHeight="1">
      <c r="A17" s="40"/>
      <c r="B17" s="43" t="s">
        <v>796</v>
      </c>
      <c r="C17" s="47">
        <f>SUM('Stavební rozpočet'!U13:U382)</f>
        <v>0</v>
      </c>
      <c r="D17" s="107" t="s">
        <v>887</v>
      </c>
      <c r="E17" s="108"/>
      <c r="F17" s="47">
        <v>0</v>
      </c>
      <c r="G17" s="107" t="s">
        <v>898</v>
      </c>
      <c r="H17" s="108"/>
      <c r="I17" s="47">
        <v>0</v>
      </c>
      <c r="J17" s="31"/>
    </row>
    <row r="18" spans="1:10" ht="15" customHeight="1">
      <c r="A18" s="39" t="s">
        <v>871</v>
      </c>
      <c r="B18" s="43" t="s">
        <v>881</v>
      </c>
      <c r="C18" s="47">
        <f>SUM('Stavební rozpočet'!V13:V382)</f>
        <v>0</v>
      </c>
      <c r="D18" s="107"/>
      <c r="E18" s="108"/>
      <c r="F18" s="48"/>
      <c r="G18" s="107" t="s">
        <v>899</v>
      </c>
      <c r="H18" s="108"/>
      <c r="I18" s="47">
        <v>0</v>
      </c>
      <c r="J18" s="31"/>
    </row>
    <row r="19" spans="1:10" ht="15" customHeight="1">
      <c r="A19" s="40"/>
      <c r="B19" s="43" t="s">
        <v>796</v>
      </c>
      <c r="C19" s="47">
        <f>SUM('Stavební rozpočet'!W13:W382)</f>
        <v>0</v>
      </c>
      <c r="D19" s="107"/>
      <c r="E19" s="108"/>
      <c r="F19" s="48"/>
      <c r="G19" s="107" t="s">
        <v>900</v>
      </c>
      <c r="H19" s="108"/>
      <c r="I19" s="47">
        <v>0</v>
      </c>
      <c r="J19" s="31"/>
    </row>
    <row r="20" spans="1:10" ht="15" customHeight="1">
      <c r="A20" s="109" t="s">
        <v>872</v>
      </c>
      <c r="B20" s="110"/>
      <c r="C20" s="47">
        <f>SUM('Stavební rozpočet'!X13:X382)</f>
        <v>0</v>
      </c>
      <c r="D20" s="107"/>
      <c r="E20" s="108"/>
      <c r="F20" s="48"/>
      <c r="G20" s="107"/>
      <c r="H20" s="108"/>
      <c r="I20" s="48"/>
      <c r="J20" s="31"/>
    </row>
    <row r="21" spans="1:10" ht="15" customHeight="1">
      <c r="A21" s="109" t="s">
        <v>873</v>
      </c>
      <c r="B21" s="110"/>
      <c r="C21" s="47">
        <f>SUM('Stavební rozpočet'!P13:P382)</f>
        <v>0</v>
      </c>
      <c r="D21" s="107"/>
      <c r="E21" s="108"/>
      <c r="F21" s="48"/>
      <c r="G21" s="107"/>
      <c r="H21" s="108"/>
      <c r="I21" s="48"/>
      <c r="J21" s="31"/>
    </row>
    <row r="22" spans="1:10" ht="16.5" customHeight="1">
      <c r="A22" s="109" t="s">
        <v>874</v>
      </c>
      <c r="B22" s="110"/>
      <c r="C22" s="47">
        <f>SUM(C14:C21)</f>
        <v>0</v>
      </c>
      <c r="D22" s="109" t="s">
        <v>888</v>
      </c>
      <c r="E22" s="110"/>
      <c r="F22" s="47">
        <f>SUM(F14:F21)</f>
        <v>0</v>
      </c>
      <c r="G22" s="109" t="s">
        <v>901</v>
      </c>
      <c r="H22" s="110"/>
      <c r="I22" s="47">
        <f>SUM(I14:I21)</f>
        <v>0</v>
      </c>
      <c r="J22" s="31"/>
    </row>
    <row r="23" spans="1:10" ht="15" customHeight="1">
      <c r="A23" s="7"/>
      <c r="B23" s="7"/>
      <c r="C23" s="45"/>
      <c r="D23" s="109" t="s">
        <v>889</v>
      </c>
      <c r="E23" s="110"/>
      <c r="F23" s="49">
        <v>0</v>
      </c>
      <c r="G23" s="109" t="s">
        <v>902</v>
      </c>
      <c r="H23" s="110"/>
      <c r="I23" s="47">
        <v>0</v>
      </c>
      <c r="J23" s="31"/>
    </row>
    <row r="24" spans="4:10" ht="15" customHeight="1">
      <c r="D24" s="7"/>
      <c r="E24" s="7"/>
      <c r="F24" s="50"/>
      <c r="G24" s="109" t="s">
        <v>903</v>
      </c>
      <c r="H24" s="110"/>
      <c r="I24" s="47">
        <v>0</v>
      </c>
      <c r="J24" s="31"/>
    </row>
    <row r="25" spans="6:10" ht="15" customHeight="1">
      <c r="F25" s="51"/>
      <c r="G25" s="109" t="s">
        <v>904</v>
      </c>
      <c r="H25" s="110"/>
      <c r="I25" s="47">
        <v>0</v>
      </c>
      <c r="J25" s="31"/>
    </row>
    <row r="26" spans="1:9" ht="12.75">
      <c r="A26" s="6"/>
      <c r="B26" s="6"/>
      <c r="C26" s="6"/>
      <c r="G26" s="7"/>
      <c r="H26" s="7"/>
      <c r="I26" s="7"/>
    </row>
    <row r="27" spans="1:9" ht="15" customHeight="1">
      <c r="A27" s="111" t="s">
        <v>875</v>
      </c>
      <c r="B27" s="112"/>
      <c r="C27" s="52">
        <f>SUM('Stavební rozpočet'!Z13:Z382)</f>
        <v>0</v>
      </c>
      <c r="D27" s="46"/>
      <c r="E27" s="6"/>
      <c r="F27" s="6"/>
      <c r="G27" s="6"/>
      <c r="H27" s="6"/>
      <c r="I27" s="6"/>
    </row>
    <row r="28" spans="1:10" ht="15" customHeight="1">
      <c r="A28" s="111" t="s">
        <v>876</v>
      </c>
      <c r="B28" s="112"/>
      <c r="C28" s="52">
        <f>SUM('Stavební rozpočet'!AA13:AA382)</f>
        <v>0</v>
      </c>
      <c r="D28" s="111" t="s">
        <v>890</v>
      </c>
      <c r="E28" s="112"/>
      <c r="F28" s="52">
        <f>ROUND(C28*(15/100),2)</f>
        <v>0</v>
      </c>
      <c r="G28" s="111" t="s">
        <v>905</v>
      </c>
      <c r="H28" s="112"/>
      <c r="I28" s="52">
        <f>SUM(C27:C29)</f>
        <v>0</v>
      </c>
      <c r="J28" s="31"/>
    </row>
    <row r="29" spans="1:10" ht="15" customHeight="1">
      <c r="A29" s="111" t="s">
        <v>877</v>
      </c>
      <c r="B29" s="112"/>
      <c r="C29" s="52">
        <f>SUM('Stavební rozpočet'!AB13:AB382)+(F22+I22+F23+I23+I24+I25)</f>
        <v>0</v>
      </c>
      <c r="D29" s="111" t="s">
        <v>891</v>
      </c>
      <c r="E29" s="112"/>
      <c r="F29" s="52">
        <f>ROUND(C29*(21/100),2)</f>
        <v>0</v>
      </c>
      <c r="G29" s="111" t="s">
        <v>906</v>
      </c>
      <c r="H29" s="112"/>
      <c r="I29" s="52">
        <f>SUM(F28:F29)+I28</f>
        <v>0</v>
      </c>
      <c r="J29" s="31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25" customHeight="1">
      <c r="A31" s="113" t="s">
        <v>878</v>
      </c>
      <c r="B31" s="114"/>
      <c r="C31" s="115"/>
      <c r="D31" s="113" t="s">
        <v>892</v>
      </c>
      <c r="E31" s="114"/>
      <c r="F31" s="115"/>
      <c r="G31" s="113" t="s">
        <v>907</v>
      </c>
      <c r="H31" s="114"/>
      <c r="I31" s="115"/>
      <c r="J31" s="32"/>
    </row>
    <row r="32" spans="1:10" ht="14.25" customHeight="1">
      <c r="A32" s="116"/>
      <c r="B32" s="117"/>
      <c r="C32" s="118"/>
      <c r="D32" s="116"/>
      <c r="E32" s="117"/>
      <c r="F32" s="118"/>
      <c r="G32" s="116"/>
      <c r="H32" s="117"/>
      <c r="I32" s="118"/>
      <c r="J32" s="32"/>
    </row>
    <row r="33" spans="1:10" ht="14.25" customHeight="1">
      <c r="A33" s="116"/>
      <c r="B33" s="117"/>
      <c r="C33" s="118"/>
      <c r="D33" s="116"/>
      <c r="E33" s="117"/>
      <c r="F33" s="118"/>
      <c r="G33" s="116"/>
      <c r="H33" s="117"/>
      <c r="I33" s="118"/>
      <c r="J33" s="32"/>
    </row>
    <row r="34" spans="1:10" ht="14.25" customHeight="1">
      <c r="A34" s="116"/>
      <c r="B34" s="117"/>
      <c r="C34" s="118"/>
      <c r="D34" s="116"/>
      <c r="E34" s="117"/>
      <c r="F34" s="118"/>
      <c r="G34" s="116"/>
      <c r="H34" s="117"/>
      <c r="I34" s="118"/>
      <c r="J34" s="32"/>
    </row>
    <row r="35" spans="1:10" ht="14.25" customHeight="1">
      <c r="A35" s="119" t="s">
        <v>879</v>
      </c>
      <c r="B35" s="120"/>
      <c r="C35" s="121"/>
      <c r="D35" s="119" t="s">
        <v>879</v>
      </c>
      <c r="E35" s="120"/>
      <c r="F35" s="121"/>
      <c r="G35" s="119" t="s">
        <v>879</v>
      </c>
      <c r="H35" s="120"/>
      <c r="I35" s="121"/>
      <c r="J35" s="32"/>
    </row>
    <row r="36" spans="1:9" ht="11.25" customHeight="1">
      <c r="A36" s="42" t="s">
        <v>198</v>
      </c>
      <c r="B36" s="44"/>
      <c r="C36" s="44"/>
      <c r="D36" s="44"/>
      <c r="E36" s="44"/>
      <c r="F36" s="44"/>
      <c r="G36" s="44"/>
      <c r="H36" s="44"/>
      <c r="I36" s="44"/>
    </row>
    <row r="37" spans="1:9" ht="409.5" customHeight="1" hidden="1">
      <c r="A37" s="95"/>
      <c r="B37" s="87"/>
      <c r="C37" s="87"/>
      <c r="D37" s="87"/>
      <c r="E37" s="87"/>
      <c r="F37" s="87"/>
      <c r="G37" s="87"/>
      <c r="H37" s="87"/>
      <c r="I37" s="8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7874015748031497" right="0.3937007874015748" top="0.5905511811023623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5"/>
  <sheetViews>
    <sheetView zoomScalePageLayoutView="0" workbookViewId="0" topLeftCell="A16">
      <selection activeCell="D30" sqref="D3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9.281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ht="12.75">
      <c r="A2" s="84" t="s">
        <v>1</v>
      </c>
      <c r="B2" s="85"/>
      <c r="C2" s="85"/>
      <c r="D2" s="88" t="s">
        <v>403</v>
      </c>
      <c r="E2" s="124" t="s">
        <v>769</v>
      </c>
      <c r="F2" s="85"/>
      <c r="G2" s="124"/>
      <c r="H2" s="85"/>
      <c r="I2" s="91" t="s">
        <v>792</v>
      </c>
      <c r="J2" s="91" t="s">
        <v>797</v>
      </c>
      <c r="K2" s="85"/>
      <c r="L2" s="85"/>
      <c r="M2" s="125"/>
      <c r="N2" s="31"/>
    </row>
    <row r="3" spans="1:14" ht="12.75">
      <c r="A3" s="86"/>
      <c r="B3" s="87"/>
      <c r="C3" s="87"/>
      <c r="D3" s="90"/>
      <c r="E3" s="87"/>
      <c r="F3" s="87"/>
      <c r="G3" s="87"/>
      <c r="H3" s="87"/>
      <c r="I3" s="87"/>
      <c r="J3" s="87"/>
      <c r="K3" s="87"/>
      <c r="L3" s="87"/>
      <c r="M3" s="93"/>
      <c r="N3" s="31"/>
    </row>
    <row r="4" spans="1:14" ht="12.75">
      <c r="A4" s="94" t="s">
        <v>2</v>
      </c>
      <c r="B4" s="87"/>
      <c r="C4" s="87"/>
      <c r="D4" s="95" t="s">
        <v>404</v>
      </c>
      <c r="E4" s="98" t="s">
        <v>770</v>
      </c>
      <c r="F4" s="87"/>
      <c r="G4" s="97"/>
      <c r="H4" s="87"/>
      <c r="I4" s="95" t="s">
        <v>793</v>
      </c>
      <c r="J4" s="95" t="s">
        <v>798</v>
      </c>
      <c r="K4" s="87"/>
      <c r="L4" s="87"/>
      <c r="M4" s="93"/>
      <c r="N4" s="31"/>
    </row>
    <row r="5" spans="1:14" ht="12.7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93"/>
      <c r="N5" s="31"/>
    </row>
    <row r="6" spans="1:14" ht="12.75">
      <c r="A6" s="94" t="s">
        <v>3</v>
      </c>
      <c r="B6" s="87"/>
      <c r="C6" s="87"/>
      <c r="D6" s="95" t="s">
        <v>405</v>
      </c>
      <c r="E6" s="98" t="s">
        <v>771</v>
      </c>
      <c r="F6" s="87"/>
      <c r="G6" s="87"/>
      <c r="H6" s="87"/>
      <c r="I6" s="95" t="s">
        <v>794</v>
      </c>
      <c r="J6" s="95"/>
      <c r="K6" s="87"/>
      <c r="L6" s="87"/>
      <c r="M6" s="93"/>
      <c r="N6" s="31"/>
    </row>
    <row r="7" spans="1:14" ht="12.7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93"/>
      <c r="N7" s="31"/>
    </row>
    <row r="8" spans="1:14" ht="12.75">
      <c r="A8" s="94" t="s">
        <v>4</v>
      </c>
      <c r="B8" s="87"/>
      <c r="C8" s="87"/>
      <c r="D8" s="95">
        <v>8141621</v>
      </c>
      <c r="E8" s="98" t="s">
        <v>772</v>
      </c>
      <c r="F8" s="87"/>
      <c r="G8" s="97">
        <v>42488</v>
      </c>
      <c r="H8" s="87"/>
      <c r="I8" s="95" t="s">
        <v>795</v>
      </c>
      <c r="J8" s="95" t="s">
        <v>799</v>
      </c>
      <c r="K8" s="87"/>
      <c r="L8" s="87"/>
      <c r="M8" s="93"/>
      <c r="N8" s="31"/>
    </row>
    <row r="9" spans="1:14" ht="12.7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  <c r="N9" s="31"/>
    </row>
    <row r="10" spans="1:14" ht="12.75">
      <c r="A10" s="1" t="s">
        <v>5</v>
      </c>
      <c r="B10" s="9" t="s">
        <v>199</v>
      </c>
      <c r="C10" s="9" t="s">
        <v>201</v>
      </c>
      <c r="D10" s="9" t="s">
        <v>406</v>
      </c>
      <c r="E10" s="9" t="s">
        <v>773</v>
      </c>
      <c r="F10" s="16" t="s">
        <v>786</v>
      </c>
      <c r="G10" s="21" t="s">
        <v>787</v>
      </c>
      <c r="H10" s="130" t="s">
        <v>789</v>
      </c>
      <c r="I10" s="131"/>
      <c r="J10" s="132"/>
      <c r="K10" s="130" t="s">
        <v>801</v>
      </c>
      <c r="L10" s="132"/>
      <c r="M10" s="27" t="s">
        <v>802</v>
      </c>
      <c r="N10" s="32"/>
    </row>
    <row r="11" spans="1:24" ht="12.75">
      <c r="A11" s="2" t="s">
        <v>6</v>
      </c>
      <c r="B11" s="10" t="s">
        <v>6</v>
      </c>
      <c r="C11" s="10" t="s">
        <v>6</v>
      </c>
      <c r="D11" s="12" t="s">
        <v>407</v>
      </c>
      <c r="E11" s="10" t="s">
        <v>6</v>
      </c>
      <c r="F11" s="10" t="s">
        <v>6</v>
      </c>
      <c r="G11" s="22" t="s">
        <v>788</v>
      </c>
      <c r="H11" s="23" t="s">
        <v>790</v>
      </c>
      <c r="I11" s="24" t="s">
        <v>796</v>
      </c>
      <c r="J11" s="25" t="s">
        <v>800</v>
      </c>
      <c r="K11" s="23" t="s">
        <v>787</v>
      </c>
      <c r="L11" s="25" t="s">
        <v>800</v>
      </c>
      <c r="M11" s="28" t="s">
        <v>803</v>
      </c>
      <c r="N11" s="32"/>
      <c r="P11" s="26" t="s">
        <v>806</v>
      </c>
      <c r="Q11" s="26" t="s">
        <v>807</v>
      </c>
      <c r="R11" s="26" t="s">
        <v>811</v>
      </c>
      <c r="S11" s="26" t="s">
        <v>812</v>
      </c>
      <c r="T11" s="26" t="s">
        <v>813</v>
      </c>
      <c r="U11" s="26" t="s">
        <v>814</v>
      </c>
      <c r="V11" s="26" t="s">
        <v>815</v>
      </c>
      <c r="W11" s="26" t="s">
        <v>816</v>
      </c>
      <c r="X11" s="26" t="s">
        <v>817</v>
      </c>
    </row>
    <row r="12" spans="1:24" ht="12.75">
      <c r="A12" s="15"/>
      <c r="B12" s="15"/>
      <c r="C12" s="15"/>
      <c r="D12" s="54"/>
      <c r="E12" s="15"/>
      <c r="F12" s="15"/>
      <c r="G12" s="55"/>
      <c r="H12" s="56"/>
      <c r="I12" s="56"/>
      <c r="J12" s="56"/>
      <c r="K12" s="56"/>
      <c r="L12" s="56"/>
      <c r="M12" s="56"/>
      <c r="N12" s="57"/>
      <c r="P12" s="26"/>
      <c r="Q12" s="26"/>
      <c r="R12" s="26"/>
      <c r="S12" s="26"/>
      <c r="T12" s="26"/>
      <c r="U12" s="26"/>
      <c r="V12" s="26"/>
      <c r="W12" s="26"/>
      <c r="X12" s="26"/>
    </row>
    <row r="13" spans="1:13" s="62" customFormat="1" ht="12.75">
      <c r="A13" s="58"/>
      <c r="B13" s="59" t="s">
        <v>200</v>
      </c>
      <c r="C13" s="59"/>
      <c r="D13" s="133" t="s">
        <v>408</v>
      </c>
      <c r="E13" s="134"/>
      <c r="F13" s="134"/>
      <c r="G13" s="134"/>
      <c r="H13" s="60">
        <f>H14+H28+H34+H66+H69+H101+H118+H132+H144+H152+H157+H176+H193+H197+H200+H207+H209+H213+H222+H232+H235+H237+H242+H246+H249+H275+H308+H311+H317+H319+H333+H347+H349+H353+H360+H369+H375</f>
        <v>0</v>
      </c>
      <c r="I13" s="60">
        <f>I14+I28+I34+I66+I69+I101+I118+I132+I144+I152+I157+I176+I193+I197+I200+I207+I209+I213+I222+I232+I235+I237+I242+I246+I249+I275+I308+I311+I317+I319+I333+I347+I349+I353+I360+I369+I375</f>
        <v>0</v>
      </c>
      <c r="J13" s="60">
        <f>H13+I13</f>
        <v>0</v>
      </c>
      <c r="K13" s="61"/>
      <c r="L13" s="60">
        <f>L14+L28+L34+L66+L69+L101+L118+L132+L144+L152+L157+L176+L193+L197+L200+L207+L209+L213+L222+L232+L235+L237+L242+L246+L249+L275+L308+L311+L317+L319+L333+L347+L349+L353+L360+L369+L375</f>
        <v>458.88726862799996</v>
      </c>
      <c r="M13" s="61"/>
    </row>
    <row r="14" spans="1:37" ht="12.75">
      <c r="A14" s="3"/>
      <c r="B14" s="11" t="s">
        <v>200</v>
      </c>
      <c r="C14" s="11" t="s">
        <v>17</v>
      </c>
      <c r="D14" s="135" t="s">
        <v>409</v>
      </c>
      <c r="E14" s="136"/>
      <c r="F14" s="136"/>
      <c r="G14" s="136"/>
      <c r="H14" s="35">
        <f>SUM(H15:H26)</f>
        <v>0</v>
      </c>
      <c r="I14" s="35">
        <f>SUM(I15:I26)</f>
        <v>0</v>
      </c>
      <c r="J14" s="35">
        <f>H14+I14</f>
        <v>0</v>
      </c>
      <c r="K14" s="26"/>
      <c r="L14" s="35">
        <f>SUM(L15:L26)</f>
        <v>21.14136</v>
      </c>
      <c r="M14" s="26"/>
      <c r="P14" s="35">
        <f>IF(Q14="PR",J14,SUM(O15:O26))</f>
        <v>0</v>
      </c>
      <c r="Q14" s="26" t="s">
        <v>808</v>
      </c>
      <c r="R14" s="35">
        <f>IF(Q14="HS",H14,0)</f>
        <v>0</v>
      </c>
      <c r="S14" s="35">
        <f>IF(Q14="HS",I14-P14,0)</f>
        <v>0</v>
      </c>
      <c r="T14" s="35">
        <f>IF(Q14="PS",H14,0)</f>
        <v>0</v>
      </c>
      <c r="U14" s="35">
        <f>IF(Q14="PS",I14-P14,0)</f>
        <v>0</v>
      </c>
      <c r="V14" s="35">
        <f>IF(Q14="MP",H14,0)</f>
        <v>0</v>
      </c>
      <c r="W14" s="35">
        <f>IF(Q14="MP",I14-P14,0)</f>
        <v>0</v>
      </c>
      <c r="X14" s="35">
        <f>IF(Q14="OM",H14,0)</f>
        <v>0</v>
      </c>
      <c r="Y14" s="26" t="s">
        <v>200</v>
      </c>
      <c r="AI14" s="35">
        <f>SUM(Z15:Z26)</f>
        <v>0</v>
      </c>
      <c r="AJ14" s="35">
        <f>SUM(AA15:AA26)</f>
        <v>0</v>
      </c>
      <c r="AK14" s="35">
        <f>SUM(AB15:AB26)</f>
        <v>0</v>
      </c>
    </row>
    <row r="15" spans="1:43" ht="12.75">
      <c r="A15" s="4" t="s">
        <v>7</v>
      </c>
      <c r="B15" s="4" t="s">
        <v>200</v>
      </c>
      <c r="C15" s="4" t="s">
        <v>202</v>
      </c>
      <c r="D15" s="4" t="s">
        <v>410</v>
      </c>
      <c r="E15" s="4" t="s">
        <v>774</v>
      </c>
      <c r="F15" s="17">
        <v>50</v>
      </c>
      <c r="G15" s="17"/>
      <c r="H15" s="17">
        <f>F15*AE15</f>
        <v>0</v>
      </c>
      <c r="I15" s="17">
        <f>J15-H15</f>
        <v>0</v>
      </c>
      <c r="J15" s="17">
        <f>F15*G15</f>
        <v>0</v>
      </c>
      <c r="K15" s="17">
        <v>0</v>
      </c>
      <c r="L15" s="17">
        <f>F15*K15</f>
        <v>0</v>
      </c>
      <c r="M15" s="29" t="s">
        <v>804</v>
      </c>
      <c r="N15" s="29" t="s">
        <v>7</v>
      </c>
      <c r="O15" s="17">
        <f>IF(N15="5",I15,0)</f>
        <v>0</v>
      </c>
      <c r="Z15" s="17">
        <f>IF(AD15=0,J15,0)</f>
        <v>0</v>
      </c>
      <c r="AA15" s="17">
        <f>IF(AD15=15,J15,0)</f>
        <v>0</v>
      </c>
      <c r="AB15" s="17">
        <f>IF(AD15=21,J15,0)</f>
        <v>0</v>
      </c>
      <c r="AD15" s="33">
        <v>21</v>
      </c>
      <c r="AE15" s="33">
        <f>G15*0</f>
        <v>0</v>
      </c>
      <c r="AF15" s="33">
        <f>G15*(1-0)</f>
        <v>0</v>
      </c>
      <c r="AM15" s="33">
        <f>F15*AE15</f>
        <v>0</v>
      </c>
      <c r="AN15" s="33">
        <f>F15*AF15</f>
        <v>0</v>
      </c>
      <c r="AO15" s="34" t="s">
        <v>818</v>
      </c>
      <c r="AP15" s="34" t="s">
        <v>855</v>
      </c>
      <c r="AQ15" s="26" t="s">
        <v>866</v>
      </c>
    </row>
    <row r="16" spans="1:43" ht="12.75">
      <c r="A16" s="4" t="s">
        <v>8</v>
      </c>
      <c r="B16" s="4" t="s">
        <v>200</v>
      </c>
      <c r="C16" s="4" t="s">
        <v>203</v>
      </c>
      <c r="D16" s="4" t="s">
        <v>411</v>
      </c>
      <c r="E16" s="4" t="s">
        <v>775</v>
      </c>
      <c r="F16" s="17">
        <v>30</v>
      </c>
      <c r="G16" s="17"/>
      <c r="H16" s="17">
        <f>F16*AE16</f>
        <v>0</v>
      </c>
      <c r="I16" s="17">
        <f>J16-H16</f>
        <v>0</v>
      </c>
      <c r="J16" s="17">
        <f>F16*G16</f>
        <v>0</v>
      </c>
      <c r="K16" s="17">
        <v>0</v>
      </c>
      <c r="L16" s="17">
        <f>F16*K16</f>
        <v>0</v>
      </c>
      <c r="M16" s="29" t="s">
        <v>804</v>
      </c>
      <c r="N16" s="29" t="s">
        <v>7</v>
      </c>
      <c r="O16" s="17">
        <f>IF(N16="5",I16,0)</f>
        <v>0</v>
      </c>
      <c r="Z16" s="17">
        <f>IF(AD16=0,J16,0)</f>
        <v>0</v>
      </c>
      <c r="AA16" s="17">
        <f>IF(AD16=15,J16,0)</f>
        <v>0</v>
      </c>
      <c r="AB16" s="17">
        <f>IF(AD16=21,J16,0)</f>
        <v>0</v>
      </c>
      <c r="AD16" s="33">
        <v>21</v>
      </c>
      <c r="AE16" s="33">
        <f>G16*0</f>
        <v>0</v>
      </c>
      <c r="AF16" s="33">
        <f>G16*(1-0)</f>
        <v>0</v>
      </c>
      <c r="AM16" s="33">
        <f>F16*AE16</f>
        <v>0</v>
      </c>
      <c r="AN16" s="33">
        <f>F16*AF16</f>
        <v>0</v>
      </c>
      <c r="AO16" s="34" t="s">
        <v>818</v>
      </c>
      <c r="AP16" s="34" t="s">
        <v>855</v>
      </c>
      <c r="AQ16" s="26" t="s">
        <v>866</v>
      </c>
    </row>
    <row r="17" spans="1:43" ht="12.75">
      <c r="A17" s="4" t="s">
        <v>9</v>
      </c>
      <c r="B17" s="4" t="s">
        <v>200</v>
      </c>
      <c r="C17" s="4" t="s">
        <v>204</v>
      </c>
      <c r="D17" s="4" t="s">
        <v>412</v>
      </c>
      <c r="E17" s="4" t="s">
        <v>776</v>
      </c>
      <c r="F17" s="17">
        <v>136</v>
      </c>
      <c r="G17" s="17"/>
      <c r="H17" s="17">
        <f>F17*AE17</f>
        <v>0</v>
      </c>
      <c r="I17" s="17">
        <f>J17-H17</f>
        <v>0</v>
      </c>
      <c r="J17" s="17">
        <f>F17*G17</f>
        <v>0</v>
      </c>
      <c r="K17" s="17">
        <v>0.138</v>
      </c>
      <c r="L17" s="17">
        <f>F17*K17</f>
        <v>18.768</v>
      </c>
      <c r="M17" s="29" t="s">
        <v>804</v>
      </c>
      <c r="N17" s="29" t="s">
        <v>7</v>
      </c>
      <c r="O17" s="17">
        <f>IF(N17="5",I17,0)</f>
        <v>0</v>
      </c>
      <c r="Z17" s="17">
        <f>IF(AD17=0,J17,0)</f>
        <v>0</v>
      </c>
      <c r="AA17" s="17">
        <f>IF(AD17=15,J17,0)</f>
        <v>0</v>
      </c>
      <c r="AB17" s="17">
        <f>IF(AD17=21,J17,0)</f>
        <v>0</v>
      </c>
      <c r="AD17" s="33">
        <v>21</v>
      </c>
      <c r="AE17" s="33">
        <f>G17*0</f>
        <v>0</v>
      </c>
      <c r="AF17" s="33">
        <f>G17*(1-0)</f>
        <v>0</v>
      </c>
      <c r="AM17" s="33">
        <f>F17*AE17</f>
        <v>0</v>
      </c>
      <c r="AN17" s="33">
        <f>F17*AF17</f>
        <v>0</v>
      </c>
      <c r="AO17" s="34" t="s">
        <v>818</v>
      </c>
      <c r="AP17" s="34" t="s">
        <v>855</v>
      </c>
      <c r="AQ17" s="26" t="s">
        <v>866</v>
      </c>
    </row>
    <row r="18" spans="4:6" ht="12.75">
      <c r="D18" s="13" t="s">
        <v>413</v>
      </c>
      <c r="F18" s="18">
        <v>14.4</v>
      </c>
    </row>
    <row r="19" spans="4:6" ht="12.75">
      <c r="D19" s="13" t="s">
        <v>414</v>
      </c>
      <c r="F19" s="18">
        <v>21.6</v>
      </c>
    </row>
    <row r="20" spans="4:6" ht="12.75">
      <c r="D20" s="13" t="s">
        <v>415</v>
      </c>
      <c r="F20" s="18">
        <v>100</v>
      </c>
    </row>
    <row r="21" spans="1:43" ht="12.75">
      <c r="A21" s="4" t="s">
        <v>10</v>
      </c>
      <c r="B21" s="4" t="s">
        <v>200</v>
      </c>
      <c r="C21" s="4" t="s">
        <v>205</v>
      </c>
      <c r="D21" s="4" t="s">
        <v>416</v>
      </c>
      <c r="E21" s="4" t="s">
        <v>776</v>
      </c>
      <c r="F21" s="17">
        <v>30</v>
      </c>
      <c r="G21" s="17"/>
      <c r="H21" s="17">
        <f>F21*AE21</f>
        <v>0</v>
      </c>
      <c r="I21" s="17">
        <f>J21-H21</f>
        <v>0</v>
      </c>
      <c r="J21" s="17">
        <f>F21*G21</f>
        <v>0</v>
      </c>
      <c r="K21" s="17">
        <v>0</v>
      </c>
      <c r="L21" s="17">
        <f>F21*K21</f>
        <v>0</v>
      </c>
      <c r="M21" s="29" t="s">
        <v>804</v>
      </c>
      <c r="N21" s="29" t="s">
        <v>7</v>
      </c>
      <c r="O21" s="17">
        <f>IF(N21="5",I21,0)</f>
        <v>0</v>
      </c>
      <c r="Z21" s="17">
        <f>IF(AD21=0,J21,0)</f>
        <v>0</v>
      </c>
      <c r="AA21" s="17">
        <f>IF(AD21=15,J21,0)</f>
        <v>0</v>
      </c>
      <c r="AB21" s="17">
        <f>IF(AD21=21,J21,0)</f>
        <v>0</v>
      </c>
      <c r="AD21" s="33">
        <v>21</v>
      </c>
      <c r="AE21" s="33">
        <f>G21*0</f>
        <v>0</v>
      </c>
      <c r="AF21" s="33">
        <f>G21*(1-0)</f>
        <v>0</v>
      </c>
      <c r="AM21" s="33">
        <f>F21*AE21</f>
        <v>0</v>
      </c>
      <c r="AN21" s="33">
        <f>F21*AF21</f>
        <v>0</v>
      </c>
      <c r="AO21" s="34" t="s">
        <v>818</v>
      </c>
      <c r="AP21" s="34" t="s">
        <v>855</v>
      </c>
      <c r="AQ21" s="26" t="s">
        <v>866</v>
      </c>
    </row>
    <row r="22" spans="1:43" ht="12.75">
      <c r="A22" s="4" t="s">
        <v>11</v>
      </c>
      <c r="B22" s="4" t="s">
        <v>200</v>
      </c>
      <c r="C22" s="4" t="s">
        <v>206</v>
      </c>
      <c r="D22" s="4" t="s">
        <v>417</v>
      </c>
      <c r="E22" s="4" t="s">
        <v>777</v>
      </c>
      <c r="F22" s="17">
        <v>3</v>
      </c>
      <c r="G22" s="17"/>
      <c r="H22" s="17">
        <f>F22*AE22</f>
        <v>0</v>
      </c>
      <c r="I22" s="17">
        <f>J22-H22</f>
        <v>0</v>
      </c>
      <c r="J22" s="17">
        <f>F22*G22</f>
        <v>0</v>
      </c>
      <c r="K22" s="17">
        <v>0.0107</v>
      </c>
      <c r="L22" s="17">
        <f>F22*K22</f>
        <v>0.0321</v>
      </c>
      <c r="M22" s="29" t="s">
        <v>804</v>
      </c>
      <c r="N22" s="29" t="s">
        <v>7</v>
      </c>
      <c r="O22" s="17">
        <f>IF(N22="5",I22,0)</f>
        <v>0</v>
      </c>
      <c r="Z22" s="17">
        <f>IF(AD22=0,J22,0)</f>
        <v>0</v>
      </c>
      <c r="AA22" s="17">
        <f>IF(AD22=15,J22,0)</f>
        <v>0</v>
      </c>
      <c r="AB22" s="17">
        <f>IF(AD22=21,J22,0)</f>
        <v>0</v>
      </c>
      <c r="AD22" s="33">
        <v>21</v>
      </c>
      <c r="AE22" s="33">
        <f>G22*0.357320389485073</f>
        <v>0</v>
      </c>
      <c r="AF22" s="33">
        <f>G22*(1-0.357320389485073)</f>
        <v>0</v>
      </c>
      <c r="AM22" s="33">
        <f>F22*AE22</f>
        <v>0</v>
      </c>
      <c r="AN22" s="33">
        <f>F22*AF22</f>
        <v>0</v>
      </c>
      <c r="AO22" s="34" t="s">
        <v>818</v>
      </c>
      <c r="AP22" s="34" t="s">
        <v>855</v>
      </c>
      <c r="AQ22" s="26" t="s">
        <v>866</v>
      </c>
    </row>
    <row r="23" spans="4:6" ht="12.75">
      <c r="D23" s="13" t="s">
        <v>418</v>
      </c>
      <c r="F23" s="18">
        <v>3</v>
      </c>
    </row>
    <row r="24" spans="1:43" ht="12.75">
      <c r="A24" s="4" t="s">
        <v>12</v>
      </c>
      <c r="B24" s="4" t="s">
        <v>200</v>
      </c>
      <c r="C24" s="4" t="s">
        <v>207</v>
      </c>
      <c r="D24" s="4" t="s">
        <v>419</v>
      </c>
      <c r="E24" s="4" t="s">
        <v>777</v>
      </c>
      <c r="F24" s="17">
        <v>17</v>
      </c>
      <c r="G24" s="17"/>
      <c r="H24" s="17">
        <f>F24*AE24</f>
        <v>0</v>
      </c>
      <c r="I24" s="17">
        <f>J24-H24</f>
        <v>0</v>
      </c>
      <c r="J24" s="17">
        <f>F24*G24</f>
        <v>0</v>
      </c>
      <c r="K24" s="17">
        <v>0.02478</v>
      </c>
      <c r="L24" s="17">
        <f>F24*K24</f>
        <v>0.42126</v>
      </c>
      <c r="M24" s="29" t="s">
        <v>804</v>
      </c>
      <c r="N24" s="29" t="s">
        <v>7</v>
      </c>
      <c r="O24" s="17">
        <f>IF(N24="5",I24,0)</f>
        <v>0</v>
      </c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3">
        <v>21</v>
      </c>
      <c r="AE24" s="33">
        <f>G24*0.380141843971631</f>
        <v>0</v>
      </c>
      <c r="AF24" s="33">
        <f>G24*(1-0.380141843971631)</f>
        <v>0</v>
      </c>
      <c r="AM24" s="33">
        <f>F24*AE24</f>
        <v>0</v>
      </c>
      <c r="AN24" s="33">
        <f>F24*AF24</f>
        <v>0</v>
      </c>
      <c r="AO24" s="34" t="s">
        <v>818</v>
      </c>
      <c r="AP24" s="34" t="s">
        <v>855</v>
      </c>
      <c r="AQ24" s="26" t="s">
        <v>866</v>
      </c>
    </row>
    <row r="25" spans="4:6" ht="12.75">
      <c r="D25" s="13" t="s">
        <v>420</v>
      </c>
      <c r="F25" s="18">
        <v>17</v>
      </c>
    </row>
    <row r="26" spans="1:43" ht="12.75">
      <c r="A26" s="4" t="s">
        <v>13</v>
      </c>
      <c r="B26" s="4" t="s">
        <v>200</v>
      </c>
      <c r="C26" s="4" t="s">
        <v>208</v>
      </c>
      <c r="D26" s="4" t="s">
        <v>421</v>
      </c>
      <c r="E26" s="4" t="s">
        <v>777</v>
      </c>
      <c r="F26" s="17">
        <v>48</v>
      </c>
      <c r="G26" s="17"/>
      <c r="H26" s="17">
        <f>F26*AE26</f>
        <v>0</v>
      </c>
      <c r="I26" s="17">
        <f>J26-H26</f>
        <v>0</v>
      </c>
      <c r="J26" s="17">
        <f>F26*G26</f>
        <v>0</v>
      </c>
      <c r="K26" s="17">
        <v>0.04</v>
      </c>
      <c r="L26" s="17">
        <f>F26*K26</f>
        <v>1.92</v>
      </c>
      <c r="M26" s="29" t="s">
        <v>804</v>
      </c>
      <c r="N26" s="29" t="s">
        <v>7</v>
      </c>
      <c r="O26" s="17">
        <f>IF(N26="5",I26,0)</f>
        <v>0</v>
      </c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3">
        <v>21</v>
      </c>
      <c r="AE26" s="33">
        <f>G26*0</f>
        <v>0</v>
      </c>
      <c r="AF26" s="33">
        <f>G26*(1-0)</f>
        <v>0</v>
      </c>
      <c r="AM26" s="33">
        <f>F26*AE26</f>
        <v>0</v>
      </c>
      <c r="AN26" s="33">
        <f>F26*AF26</f>
        <v>0</v>
      </c>
      <c r="AO26" s="34" t="s">
        <v>818</v>
      </c>
      <c r="AP26" s="34" t="s">
        <v>855</v>
      </c>
      <c r="AQ26" s="26" t="s">
        <v>866</v>
      </c>
    </row>
    <row r="27" spans="4:6" ht="12.75">
      <c r="D27" s="13" t="s">
        <v>422</v>
      </c>
      <c r="F27" s="18">
        <v>48</v>
      </c>
    </row>
    <row r="28" spans="1:37" ht="12.75">
      <c r="A28" s="3"/>
      <c r="B28" s="11" t="s">
        <v>200</v>
      </c>
      <c r="C28" s="11" t="s">
        <v>18</v>
      </c>
      <c r="D28" s="79" t="s">
        <v>423</v>
      </c>
      <c r="E28" s="80"/>
      <c r="F28" s="80"/>
      <c r="G28" s="80"/>
      <c r="H28" s="35">
        <f>SUM(H29:H29)</f>
        <v>0</v>
      </c>
      <c r="I28" s="35">
        <f>SUM(I29:I29)</f>
        <v>0</v>
      </c>
      <c r="J28" s="35">
        <f>H28+I28</f>
        <v>0</v>
      </c>
      <c r="K28" s="26"/>
      <c r="L28" s="35">
        <f>SUM(L29:L29)</f>
        <v>0</v>
      </c>
      <c r="M28" s="26"/>
      <c r="P28" s="35">
        <f>IF(Q28="PR",J28,SUM(O29:O29))</f>
        <v>0</v>
      </c>
      <c r="Q28" s="26" t="s">
        <v>808</v>
      </c>
      <c r="R28" s="35">
        <f>IF(Q28="HS",H28,0)</f>
        <v>0</v>
      </c>
      <c r="S28" s="35">
        <f>IF(Q28="HS",I28-P28,0)</f>
        <v>0</v>
      </c>
      <c r="T28" s="35">
        <f>IF(Q28="PS",H28,0)</f>
        <v>0</v>
      </c>
      <c r="U28" s="35">
        <f>IF(Q28="PS",I28-P28,0)</f>
        <v>0</v>
      </c>
      <c r="V28" s="35">
        <f>IF(Q28="MP",H28,0)</f>
        <v>0</v>
      </c>
      <c r="W28" s="35">
        <f>IF(Q28="MP",I28-P28,0)</f>
        <v>0</v>
      </c>
      <c r="X28" s="35">
        <f>IF(Q28="OM",H28,0)</f>
        <v>0</v>
      </c>
      <c r="Y28" s="26" t="s">
        <v>200</v>
      </c>
      <c r="AI28" s="35">
        <f>SUM(Z29:Z29)</f>
        <v>0</v>
      </c>
      <c r="AJ28" s="35">
        <f>SUM(AA29:AA29)</f>
        <v>0</v>
      </c>
      <c r="AK28" s="35">
        <f>SUM(AB29:AB29)</f>
        <v>0</v>
      </c>
    </row>
    <row r="29" spans="1:43" ht="12.75">
      <c r="A29" s="4" t="s">
        <v>14</v>
      </c>
      <c r="B29" s="4" t="s">
        <v>200</v>
      </c>
      <c r="C29" s="4" t="s">
        <v>209</v>
      </c>
      <c r="D29" s="4" t="s">
        <v>424</v>
      </c>
      <c r="E29" s="4" t="s">
        <v>778</v>
      </c>
      <c r="F29" s="17">
        <v>36.1</v>
      </c>
      <c r="G29" s="17"/>
      <c r="H29" s="17">
        <f>F29*AE29</f>
        <v>0</v>
      </c>
      <c r="I29" s="17">
        <f>J29-H29</f>
        <v>0</v>
      </c>
      <c r="J29" s="17">
        <f>F29*G29</f>
        <v>0</v>
      </c>
      <c r="K29" s="17">
        <v>0</v>
      </c>
      <c r="L29" s="17">
        <f>F29*K29</f>
        <v>0</v>
      </c>
      <c r="M29" s="29" t="s">
        <v>804</v>
      </c>
      <c r="N29" s="29" t="s">
        <v>7</v>
      </c>
      <c r="O29" s="17">
        <f>IF(N29="5",I29,0)</f>
        <v>0</v>
      </c>
      <c r="Z29" s="17">
        <f>IF(AD29=0,J29,0)</f>
        <v>0</v>
      </c>
      <c r="AA29" s="17">
        <f>IF(AD29=15,J29,0)</f>
        <v>0</v>
      </c>
      <c r="AB29" s="17">
        <f>IF(AD29=21,J29,0)</f>
        <v>0</v>
      </c>
      <c r="AD29" s="33">
        <v>21</v>
      </c>
      <c r="AE29" s="33">
        <f>G29*0</f>
        <v>0</v>
      </c>
      <c r="AF29" s="33">
        <f>G29*(1-0)</f>
        <v>0</v>
      </c>
      <c r="AM29" s="33">
        <f>F29*AE29</f>
        <v>0</v>
      </c>
      <c r="AN29" s="33">
        <f>F29*AF29</f>
        <v>0</v>
      </c>
      <c r="AO29" s="34" t="s">
        <v>819</v>
      </c>
      <c r="AP29" s="34" t="s">
        <v>855</v>
      </c>
      <c r="AQ29" s="26" t="s">
        <v>866</v>
      </c>
    </row>
    <row r="30" spans="4:6" ht="12.75">
      <c r="D30" s="13" t="s">
        <v>425</v>
      </c>
      <c r="F30" s="18">
        <v>2.4</v>
      </c>
    </row>
    <row r="31" spans="4:6" ht="12.75">
      <c r="D31" s="13" t="s">
        <v>426</v>
      </c>
      <c r="F31" s="18">
        <v>5.5</v>
      </c>
    </row>
    <row r="32" spans="4:6" ht="12.75">
      <c r="D32" s="13" t="s">
        <v>427</v>
      </c>
      <c r="F32" s="18">
        <v>4.2</v>
      </c>
    </row>
    <row r="33" spans="4:6" ht="12.75">
      <c r="D33" s="13" t="s">
        <v>428</v>
      </c>
      <c r="F33" s="18">
        <v>24</v>
      </c>
    </row>
    <row r="34" spans="1:37" ht="12.75">
      <c r="A34" s="3"/>
      <c r="B34" s="11" t="s">
        <v>200</v>
      </c>
      <c r="C34" s="11" t="s">
        <v>19</v>
      </c>
      <c r="D34" s="79" t="s">
        <v>429</v>
      </c>
      <c r="E34" s="80"/>
      <c r="F34" s="80"/>
      <c r="G34" s="80"/>
      <c r="H34" s="35">
        <f>SUM(H35:H64)</f>
        <v>0</v>
      </c>
      <c r="I34" s="35">
        <f>SUM(I35:I64)</f>
        <v>0</v>
      </c>
      <c r="J34" s="35">
        <f>H34+I34</f>
        <v>0</v>
      </c>
      <c r="K34" s="26"/>
      <c r="L34" s="35">
        <f>SUM(L35:L64)</f>
        <v>0</v>
      </c>
      <c r="M34" s="26"/>
      <c r="P34" s="35">
        <f>IF(Q34="PR",J34,SUM(O35:O64))</f>
        <v>0</v>
      </c>
      <c r="Q34" s="26" t="s">
        <v>808</v>
      </c>
      <c r="R34" s="35">
        <f>IF(Q34="HS",H34,0)</f>
        <v>0</v>
      </c>
      <c r="S34" s="35">
        <f>IF(Q34="HS",I34-P34,0)</f>
        <v>0</v>
      </c>
      <c r="T34" s="35">
        <f>IF(Q34="PS",H34,0)</f>
        <v>0</v>
      </c>
      <c r="U34" s="35">
        <f>IF(Q34="PS",I34-P34,0)</f>
        <v>0</v>
      </c>
      <c r="V34" s="35">
        <f>IF(Q34="MP",H34,0)</f>
        <v>0</v>
      </c>
      <c r="W34" s="35">
        <f>IF(Q34="MP",I34-P34,0)</f>
        <v>0</v>
      </c>
      <c r="X34" s="35">
        <f>IF(Q34="OM",H34,0)</f>
        <v>0</v>
      </c>
      <c r="Y34" s="26" t="s">
        <v>200</v>
      </c>
      <c r="AI34" s="35">
        <f>SUM(Z35:Z64)</f>
        <v>0</v>
      </c>
      <c r="AJ34" s="35">
        <f>SUM(AA35:AA64)</f>
        <v>0</v>
      </c>
      <c r="AK34" s="35">
        <f>SUM(AB35:AB64)</f>
        <v>0</v>
      </c>
    </row>
    <row r="35" spans="1:43" ht="12.75">
      <c r="A35" s="4" t="s">
        <v>15</v>
      </c>
      <c r="B35" s="4" t="s">
        <v>200</v>
      </c>
      <c r="C35" s="4" t="s">
        <v>210</v>
      </c>
      <c r="D35" s="4" t="s">
        <v>430</v>
      </c>
      <c r="E35" s="4" t="s">
        <v>778</v>
      </c>
      <c r="F35" s="17">
        <v>178.79</v>
      </c>
      <c r="G35" s="17"/>
      <c r="H35" s="17">
        <f>F35*AE35</f>
        <v>0</v>
      </c>
      <c r="I35" s="17">
        <f>J35-H35</f>
        <v>0</v>
      </c>
      <c r="J35" s="17">
        <f>F35*G35</f>
        <v>0</v>
      </c>
      <c r="K35" s="17">
        <v>0</v>
      </c>
      <c r="L35" s="17">
        <f>F35*K35</f>
        <v>0</v>
      </c>
      <c r="M35" s="29" t="s">
        <v>804</v>
      </c>
      <c r="N35" s="29" t="s">
        <v>7</v>
      </c>
      <c r="O35" s="17">
        <f>IF(N35="5",I35,0)</f>
        <v>0</v>
      </c>
      <c r="Z35" s="17">
        <f>IF(AD35=0,J35,0)</f>
        <v>0</v>
      </c>
      <c r="AA35" s="17">
        <f>IF(AD35=15,J35,0)</f>
        <v>0</v>
      </c>
      <c r="AB35" s="17">
        <f>IF(AD35=21,J35,0)</f>
        <v>0</v>
      </c>
      <c r="AD35" s="33">
        <v>21</v>
      </c>
      <c r="AE35" s="33">
        <f>G35*0</f>
        <v>0</v>
      </c>
      <c r="AF35" s="33">
        <f>G35*(1-0)</f>
        <v>0</v>
      </c>
      <c r="AM35" s="33">
        <f>F35*AE35</f>
        <v>0</v>
      </c>
      <c r="AN35" s="33">
        <f>F35*AF35</f>
        <v>0</v>
      </c>
      <c r="AO35" s="34" t="s">
        <v>820</v>
      </c>
      <c r="AP35" s="34" t="s">
        <v>855</v>
      </c>
      <c r="AQ35" s="26" t="s">
        <v>866</v>
      </c>
    </row>
    <row r="36" spans="4:6" ht="12.75">
      <c r="D36" s="13" t="s">
        <v>431</v>
      </c>
      <c r="F36" s="18">
        <v>0</v>
      </c>
    </row>
    <row r="37" spans="4:6" ht="12.75">
      <c r="D37" s="13" t="s">
        <v>432</v>
      </c>
      <c r="F37" s="18">
        <v>78.88</v>
      </c>
    </row>
    <row r="38" spans="4:6" ht="12.75">
      <c r="D38" s="13" t="s">
        <v>433</v>
      </c>
      <c r="F38" s="18">
        <v>0</v>
      </c>
    </row>
    <row r="39" spans="4:6" ht="12.75">
      <c r="D39" s="13" t="s">
        <v>434</v>
      </c>
      <c r="F39" s="18">
        <v>55.91</v>
      </c>
    </row>
    <row r="40" spans="4:6" ht="12.75">
      <c r="D40" s="13" t="s">
        <v>435</v>
      </c>
      <c r="F40" s="18">
        <v>0</v>
      </c>
    </row>
    <row r="41" spans="4:6" ht="12.75">
      <c r="D41" s="13" t="s">
        <v>436</v>
      </c>
      <c r="F41" s="18">
        <v>44</v>
      </c>
    </row>
    <row r="42" spans="1:43" ht="12.75">
      <c r="A42" s="4" t="s">
        <v>16</v>
      </c>
      <c r="B42" s="4" t="s">
        <v>200</v>
      </c>
      <c r="C42" s="4" t="s">
        <v>211</v>
      </c>
      <c r="D42" s="4" t="s">
        <v>437</v>
      </c>
      <c r="E42" s="4" t="s">
        <v>778</v>
      </c>
      <c r="F42" s="17">
        <v>178.79</v>
      </c>
      <c r="G42" s="17"/>
      <c r="H42" s="17">
        <f>F42*AE42</f>
        <v>0</v>
      </c>
      <c r="I42" s="17">
        <f>J42-H42</f>
        <v>0</v>
      </c>
      <c r="J42" s="17">
        <f>F42*G42</f>
        <v>0</v>
      </c>
      <c r="K42" s="17">
        <v>0</v>
      </c>
      <c r="L42" s="17">
        <f>F42*K42</f>
        <v>0</v>
      </c>
      <c r="M42" s="29" t="s">
        <v>804</v>
      </c>
      <c r="N42" s="29" t="s">
        <v>7</v>
      </c>
      <c r="O42" s="17">
        <f>IF(N42="5",I42,0)</f>
        <v>0</v>
      </c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3">
        <v>21</v>
      </c>
      <c r="AE42" s="33">
        <f>G42*0</f>
        <v>0</v>
      </c>
      <c r="AF42" s="33">
        <f>G42*(1-0)</f>
        <v>0</v>
      </c>
      <c r="AM42" s="33">
        <f>F42*AE42</f>
        <v>0</v>
      </c>
      <c r="AN42" s="33">
        <f>F42*AF42</f>
        <v>0</v>
      </c>
      <c r="AO42" s="34" t="s">
        <v>820</v>
      </c>
      <c r="AP42" s="34" t="s">
        <v>855</v>
      </c>
      <c r="AQ42" s="26" t="s">
        <v>866</v>
      </c>
    </row>
    <row r="43" spans="1:43" ht="12.75">
      <c r="A43" s="4" t="s">
        <v>17</v>
      </c>
      <c r="B43" s="4" t="s">
        <v>200</v>
      </c>
      <c r="C43" s="4" t="s">
        <v>212</v>
      </c>
      <c r="D43" s="4" t="s">
        <v>438</v>
      </c>
      <c r="E43" s="4" t="s">
        <v>778</v>
      </c>
      <c r="F43" s="17">
        <v>289.61</v>
      </c>
      <c r="G43" s="17"/>
      <c r="H43" s="17">
        <f>F43*AE43</f>
        <v>0</v>
      </c>
      <c r="I43" s="17">
        <f>J43-H43</f>
        <v>0</v>
      </c>
      <c r="J43" s="17">
        <f>F43*G43</f>
        <v>0</v>
      </c>
      <c r="K43" s="17">
        <v>0</v>
      </c>
      <c r="L43" s="17">
        <f>F43*K43</f>
        <v>0</v>
      </c>
      <c r="M43" s="29" t="s">
        <v>804</v>
      </c>
      <c r="N43" s="29" t="s">
        <v>7</v>
      </c>
      <c r="O43" s="17">
        <f>IF(N43="5",I43,0)</f>
        <v>0</v>
      </c>
      <c r="Z43" s="17">
        <f>IF(AD43=0,J43,0)</f>
        <v>0</v>
      </c>
      <c r="AA43" s="17">
        <f>IF(AD43=15,J43,0)</f>
        <v>0</v>
      </c>
      <c r="AB43" s="17">
        <f>IF(AD43=21,J43,0)</f>
        <v>0</v>
      </c>
      <c r="AD43" s="33">
        <v>21</v>
      </c>
      <c r="AE43" s="33">
        <f>G43*0</f>
        <v>0</v>
      </c>
      <c r="AF43" s="33">
        <f>G43*(1-0)</f>
        <v>0</v>
      </c>
      <c r="AM43" s="33">
        <f>F43*AE43</f>
        <v>0</v>
      </c>
      <c r="AN43" s="33">
        <f>F43*AF43</f>
        <v>0</v>
      </c>
      <c r="AO43" s="34" t="s">
        <v>820</v>
      </c>
      <c r="AP43" s="34" t="s">
        <v>855</v>
      </c>
      <c r="AQ43" s="26" t="s">
        <v>866</v>
      </c>
    </row>
    <row r="44" spans="4:6" ht="12.75">
      <c r="D44" s="13" t="s">
        <v>439</v>
      </c>
      <c r="F44" s="18">
        <v>0</v>
      </c>
    </row>
    <row r="45" spans="4:6" ht="12.75">
      <c r="D45" s="13" t="s">
        <v>440</v>
      </c>
      <c r="F45" s="18">
        <v>27.6</v>
      </c>
    </row>
    <row r="46" spans="4:6" ht="12.75">
      <c r="D46" s="13" t="s">
        <v>441</v>
      </c>
      <c r="F46" s="18">
        <v>0</v>
      </c>
    </row>
    <row r="47" spans="4:6" ht="12.75">
      <c r="D47" s="13" t="s">
        <v>442</v>
      </c>
      <c r="F47" s="18">
        <v>25.35</v>
      </c>
    </row>
    <row r="48" spans="4:6" ht="12.75">
      <c r="D48" s="13" t="s">
        <v>443</v>
      </c>
      <c r="F48" s="18">
        <v>0</v>
      </c>
    </row>
    <row r="49" spans="4:6" ht="12.75">
      <c r="D49" s="13" t="s">
        <v>444</v>
      </c>
      <c r="F49" s="18">
        <v>24.8</v>
      </c>
    </row>
    <row r="50" spans="4:6" ht="12.75">
      <c r="D50" s="13" t="s">
        <v>445</v>
      </c>
      <c r="F50" s="18">
        <v>0</v>
      </c>
    </row>
    <row r="51" spans="4:6" ht="12.75">
      <c r="D51" s="13" t="s">
        <v>446</v>
      </c>
      <c r="F51" s="18">
        <v>36.75</v>
      </c>
    </row>
    <row r="52" spans="4:6" ht="12.75">
      <c r="D52" s="13" t="s">
        <v>447</v>
      </c>
      <c r="F52" s="18">
        <v>0</v>
      </c>
    </row>
    <row r="53" spans="4:6" ht="12.75">
      <c r="D53" s="13" t="s">
        <v>448</v>
      </c>
      <c r="F53" s="18">
        <v>55</v>
      </c>
    </row>
    <row r="54" spans="4:6" ht="12.75">
      <c r="D54" s="13" t="s">
        <v>449</v>
      </c>
      <c r="F54" s="18">
        <v>0</v>
      </c>
    </row>
    <row r="55" spans="4:6" ht="12.75">
      <c r="D55" s="13" t="s">
        <v>450</v>
      </c>
      <c r="F55" s="18">
        <v>61.38</v>
      </c>
    </row>
    <row r="56" spans="4:6" ht="12.75">
      <c r="D56" s="13" t="s">
        <v>451</v>
      </c>
      <c r="F56" s="18">
        <v>0</v>
      </c>
    </row>
    <row r="57" spans="4:6" ht="12.75">
      <c r="D57" s="13" t="s">
        <v>452</v>
      </c>
      <c r="F57" s="18">
        <v>32.4</v>
      </c>
    </row>
    <row r="58" spans="4:6" ht="12.75">
      <c r="D58" s="13" t="s">
        <v>453</v>
      </c>
      <c r="F58" s="18">
        <v>26.33</v>
      </c>
    </row>
    <row r="59" spans="1:43" ht="12.75">
      <c r="A59" s="4" t="s">
        <v>18</v>
      </c>
      <c r="B59" s="4" t="s">
        <v>200</v>
      </c>
      <c r="C59" s="4" t="s">
        <v>213</v>
      </c>
      <c r="D59" s="4" t="s">
        <v>454</v>
      </c>
      <c r="E59" s="4" t="s">
        <v>778</v>
      </c>
      <c r="F59" s="17">
        <v>23.48</v>
      </c>
      <c r="G59" s="17"/>
      <c r="H59" s="17">
        <f>F59*AE59</f>
        <v>0</v>
      </c>
      <c r="I59" s="17">
        <f>J59-H59</f>
        <v>0</v>
      </c>
      <c r="J59" s="17">
        <f>F59*G59</f>
        <v>0</v>
      </c>
      <c r="K59" s="17">
        <v>0</v>
      </c>
      <c r="L59" s="17">
        <f>F59*K59</f>
        <v>0</v>
      </c>
      <c r="M59" s="29" t="s">
        <v>804</v>
      </c>
      <c r="N59" s="29" t="s">
        <v>7</v>
      </c>
      <c r="O59" s="17">
        <f>IF(N59="5",I59,0)</f>
        <v>0</v>
      </c>
      <c r="Z59" s="17">
        <f>IF(AD59=0,J59,0)</f>
        <v>0</v>
      </c>
      <c r="AA59" s="17">
        <f>IF(AD59=15,J59,0)</f>
        <v>0</v>
      </c>
      <c r="AB59" s="17">
        <f>IF(AD59=21,J59,0)</f>
        <v>0</v>
      </c>
      <c r="AD59" s="33">
        <v>21</v>
      </c>
      <c r="AE59" s="33">
        <f>G59*0</f>
        <v>0</v>
      </c>
      <c r="AF59" s="33">
        <f>G59*(1-0)</f>
        <v>0</v>
      </c>
      <c r="AM59" s="33">
        <f>F59*AE59</f>
        <v>0</v>
      </c>
      <c r="AN59" s="33">
        <f>F59*AF59</f>
        <v>0</v>
      </c>
      <c r="AO59" s="34" t="s">
        <v>820</v>
      </c>
      <c r="AP59" s="34" t="s">
        <v>855</v>
      </c>
      <c r="AQ59" s="26" t="s">
        <v>866</v>
      </c>
    </row>
    <row r="60" spans="4:6" ht="12.75">
      <c r="D60" s="13" t="s">
        <v>455</v>
      </c>
      <c r="F60" s="18">
        <v>0</v>
      </c>
    </row>
    <row r="61" spans="4:6" ht="12.75">
      <c r="D61" s="13" t="s">
        <v>456</v>
      </c>
      <c r="F61" s="18">
        <v>12.6</v>
      </c>
    </row>
    <row r="62" spans="4:6" ht="12.75">
      <c r="D62" s="13" t="s">
        <v>457</v>
      </c>
      <c r="F62" s="18">
        <v>10.88</v>
      </c>
    </row>
    <row r="63" spans="1:43" ht="12.75">
      <c r="A63" s="4" t="s">
        <v>19</v>
      </c>
      <c r="B63" s="4" t="s">
        <v>200</v>
      </c>
      <c r="C63" s="4" t="s">
        <v>214</v>
      </c>
      <c r="D63" s="4" t="s">
        <v>458</v>
      </c>
      <c r="E63" s="4" t="s">
        <v>778</v>
      </c>
      <c r="F63" s="17">
        <v>289.61</v>
      </c>
      <c r="G63" s="17"/>
      <c r="H63" s="17">
        <f>F63*AE63</f>
        <v>0</v>
      </c>
      <c r="I63" s="17">
        <f>J63-H63</f>
        <v>0</v>
      </c>
      <c r="J63" s="17">
        <f>F63*G63</f>
        <v>0</v>
      </c>
      <c r="K63" s="17">
        <v>0</v>
      </c>
      <c r="L63" s="17">
        <f>F63*K63</f>
        <v>0</v>
      </c>
      <c r="M63" s="29" t="s">
        <v>804</v>
      </c>
      <c r="N63" s="29" t="s">
        <v>7</v>
      </c>
      <c r="O63" s="17">
        <f>IF(N63="5",I63,0)</f>
        <v>0</v>
      </c>
      <c r="Z63" s="17">
        <f>IF(AD63=0,J63,0)</f>
        <v>0</v>
      </c>
      <c r="AA63" s="17">
        <f>IF(AD63=15,J63,0)</f>
        <v>0</v>
      </c>
      <c r="AB63" s="17">
        <f>IF(AD63=21,J63,0)</f>
        <v>0</v>
      </c>
      <c r="AD63" s="33">
        <v>21</v>
      </c>
      <c r="AE63" s="33">
        <f>G63*0</f>
        <v>0</v>
      </c>
      <c r="AF63" s="33">
        <f>G63*(1-0)</f>
        <v>0</v>
      </c>
      <c r="AM63" s="33">
        <f>F63*AE63</f>
        <v>0</v>
      </c>
      <c r="AN63" s="33">
        <f>F63*AF63</f>
        <v>0</v>
      </c>
      <c r="AO63" s="34" t="s">
        <v>820</v>
      </c>
      <c r="AP63" s="34" t="s">
        <v>855</v>
      </c>
      <c r="AQ63" s="26" t="s">
        <v>866</v>
      </c>
    </row>
    <row r="64" spans="1:43" ht="12.75">
      <c r="A64" s="4" t="s">
        <v>20</v>
      </c>
      <c r="B64" s="4" t="s">
        <v>200</v>
      </c>
      <c r="C64" s="4" t="s">
        <v>215</v>
      </c>
      <c r="D64" s="4" t="s">
        <v>459</v>
      </c>
      <c r="E64" s="4" t="s">
        <v>778</v>
      </c>
      <c r="F64" s="17">
        <v>40</v>
      </c>
      <c r="G64" s="17"/>
      <c r="H64" s="17">
        <f>F64*AE64</f>
        <v>0</v>
      </c>
      <c r="I64" s="17">
        <f>J64-H64</f>
        <v>0</v>
      </c>
      <c r="J64" s="17">
        <f>F64*G64</f>
        <v>0</v>
      </c>
      <c r="K64" s="17">
        <v>0</v>
      </c>
      <c r="L64" s="17">
        <f>F64*K64</f>
        <v>0</v>
      </c>
      <c r="M64" s="29" t="s">
        <v>804</v>
      </c>
      <c r="N64" s="29" t="s">
        <v>7</v>
      </c>
      <c r="O64" s="17">
        <f>IF(N64="5",I64,0)</f>
        <v>0</v>
      </c>
      <c r="Z64" s="17">
        <f>IF(AD64=0,J64,0)</f>
        <v>0</v>
      </c>
      <c r="AA64" s="17">
        <f>IF(AD64=15,J64,0)</f>
        <v>0</v>
      </c>
      <c r="AB64" s="17">
        <f>IF(AD64=21,J64,0)</f>
        <v>0</v>
      </c>
      <c r="AD64" s="33">
        <v>21</v>
      </c>
      <c r="AE64" s="33">
        <f>G64*0</f>
        <v>0</v>
      </c>
      <c r="AF64" s="33">
        <f>G64*(1-0)</f>
        <v>0</v>
      </c>
      <c r="AM64" s="33">
        <f>F64*AE64</f>
        <v>0</v>
      </c>
      <c r="AN64" s="33">
        <f>F64*AF64</f>
        <v>0</v>
      </c>
      <c r="AO64" s="34" t="s">
        <v>820</v>
      </c>
      <c r="AP64" s="34" t="s">
        <v>855</v>
      </c>
      <c r="AQ64" s="26" t="s">
        <v>866</v>
      </c>
    </row>
    <row r="65" spans="4:6" ht="12.75">
      <c r="D65" s="13" t="s">
        <v>460</v>
      </c>
      <c r="F65" s="18">
        <v>40</v>
      </c>
    </row>
    <row r="66" spans="1:37" ht="12.75">
      <c r="A66" s="3"/>
      <c r="B66" s="11" t="s">
        <v>200</v>
      </c>
      <c r="C66" s="11" t="s">
        <v>20</v>
      </c>
      <c r="D66" s="79" t="s">
        <v>461</v>
      </c>
      <c r="E66" s="80"/>
      <c r="F66" s="80"/>
      <c r="G66" s="80"/>
      <c r="H66" s="35">
        <f>SUM(H67:H68)</f>
        <v>0</v>
      </c>
      <c r="I66" s="35">
        <f>SUM(I67:I68)</f>
        <v>0</v>
      </c>
      <c r="J66" s="35">
        <f>H66+I66</f>
        <v>0</v>
      </c>
      <c r="K66" s="26"/>
      <c r="L66" s="35">
        <f>SUM(L67:L68)</f>
        <v>1.16272</v>
      </c>
      <c r="M66" s="26"/>
      <c r="P66" s="35">
        <f>IF(Q66="PR",J66,SUM(O67:O68))</f>
        <v>0</v>
      </c>
      <c r="Q66" s="26" t="s">
        <v>808</v>
      </c>
      <c r="R66" s="35">
        <f>IF(Q66="HS",H66,0)</f>
        <v>0</v>
      </c>
      <c r="S66" s="35">
        <f>IF(Q66="HS",I66-P66,0)</f>
        <v>0</v>
      </c>
      <c r="T66" s="35">
        <f>IF(Q66="PS",H66,0)</f>
        <v>0</v>
      </c>
      <c r="U66" s="35">
        <f>IF(Q66="PS",I66-P66,0)</f>
        <v>0</v>
      </c>
      <c r="V66" s="35">
        <f>IF(Q66="MP",H66,0)</f>
        <v>0</v>
      </c>
      <c r="W66" s="35">
        <f>IF(Q66="MP",I66-P66,0)</f>
        <v>0</v>
      </c>
      <c r="X66" s="35">
        <f>IF(Q66="OM",H66,0)</f>
        <v>0</v>
      </c>
      <c r="Y66" s="26" t="s">
        <v>200</v>
      </c>
      <c r="AI66" s="35">
        <f>SUM(Z67:Z68)</f>
        <v>0</v>
      </c>
      <c r="AJ66" s="35">
        <f>SUM(AA67:AA68)</f>
        <v>0</v>
      </c>
      <c r="AK66" s="35">
        <f>SUM(AB67:AB68)</f>
        <v>0</v>
      </c>
    </row>
    <row r="67" spans="1:43" ht="12.75">
      <c r="A67" s="4" t="s">
        <v>21</v>
      </c>
      <c r="B67" s="4" t="s">
        <v>200</v>
      </c>
      <c r="C67" s="4" t="s">
        <v>216</v>
      </c>
      <c r="D67" s="4" t="s">
        <v>462</v>
      </c>
      <c r="E67" s="4" t="s">
        <v>777</v>
      </c>
      <c r="F67" s="17">
        <v>13</v>
      </c>
      <c r="G67" s="17"/>
      <c r="H67" s="17">
        <f>F67*AE67</f>
        <v>0</v>
      </c>
      <c r="I67" s="17">
        <f>J67-H67</f>
        <v>0</v>
      </c>
      <c r="J67" s="17">
        <f>F67*G67</f>
        <v>0</v>
      </c>
      <c r="K67" s="17">
        <v>0.01044</v>
      </c>
      <c r="L67" s="17">
        <f>F67*K67</f>
        <v>0.13572</v>
      </c>
      <c r="M67" s="29" t="s">
        <v>804</v>
      </c>
      <c r="N67" s="29" t="s">
        <v>7</v>
      </c>
      <c r="O67" s="17">
        <f>IF(N67="5",I67,0)</f>
        <v>0</v>
      </c>
      <c r="Z67" s="17">
        <f>IF(AD67=0,J67,0)</f>
        <v>0</v>
      </c>
      <c r="AA67" s="17">
        <f>IF(AD67=15,J67,0)</f>
        <v>0</v>
      </c>
      <c r="AB67" s="17">
        <f>IF(AD67=21,J67,0)</f>
        <v>0</v>
      </c>
      <c r="AD67" s="33">
        <v>21</v>
      </c>
      <c r="AE67" s="33">
        <f>G67*0.00991538461538461</f>
        <v>0</v>
      </c>
      <c r="AF67" s="33">
        <f>G67*(1-0.00991538461538461)</f>
        <v>0</v>
      </c>
      <c r="AM67" s="33">
        <f>F67*AE67</f>
        <v>0</v>
      </c>
      <c r="AN67" s="33">
        <f>F67*AF67</f>
        <v>0</v>
      </c>
      <c r="AO67" s="34" t="s">
        <v>821</v>
      </c>
      <c r="AP67" s="34" t="s">
        <v>855</v>
      </c>
      <c r="AQ67" s="26" t="s">
        <v>866</v>
      </c>
    </row>
    <row r="68" spans="1:43" ht="12.75">
      <c r="A68" s="5" t="s">
        <v>22</v>
      </c>
      <c r="B68" s="5" t="s">
        <v>200</v>
      </c>
      <c r="C68" s="5" t="s">
        <v>217</v>
      </c>
      <c r="D68" s="5" t="s">
        <v>463</v>
      </c>
      <c r="E68" s="5" t="s">
        <v>777</v>
      </c>
      <c r="F68" s="19">
        <v>13</v>
      </c>
      <c r="G68" s="19"/>
      <c r="H68" s="19">
        <f>F68*AE68</f>
        <v>0</v>
      </c>
      <c r="I68" s="19">
        <f>J68-H68</f>
        <v>0</v>
      </c>
      <c r="J68" s="19">
        <f>F68*G68</f>
        <v>0</v>
      </c>
      <c r="K68" s="19">
        <v>0.079</v>
      </c>
      <c r="L68" s="19">
        <f>F68*K68</f>
        <v>1.027</v>
      </c>
      <c r="M68" s="30" t="s">
        <v>804</v>
      </c>
      <c r="N68" s="30" t="s">
        <v>805</v>
      </c>
      <c r="O68" s="19">
        <f>IF(N68="5",I68,0)</f>
        <v>0</v>
      </c>
      <c r="Z68" s="19">
        <f>IF(AD68=0,J68,0)</f>
        <v>0</v>
      </c>
      <c r="AA68" s="19">
        <f>IF(AD68=15,J68,0)</f>
        <v>0</v>
      </c>
      <c r="AB68" s="19">
        <f>IF(AD68=21,J68,0)</f>
        <v>0</v>
      </c>
      <c r="AD68" s="33">
        <v>21</v>
      </c>
      <c r="AE68" s="33">
        <f>G68*1</f>
        <v>0</v>
      </c>
      <c r="AF68" s="33">
        <f>G68*(1-1)</f>
        <v>0</v>
      </c>
      <c r="AM68" s="33">
        <f>F68*AE68</f>
        <v>0</v>
      </c>
      <c r="AN68" s="33">
        <f>F68*AF68</f>
        <v>0</v>
      </c>
      <c r="AO68" s="34" t="s">
        <v>821</v>
      </c>
      <c r="AP68" s="34" t="s">
        <v>855</v>
      </c>
      <c r="AQ68" s="26" t="s">
        <v>866</v>
      </c>
    </row>
    <row r="69" spans="1:37" ht="12.75">
      <c r="A69" s="3"/>
      <c r="B69" s="11" t="s">
        <v>200</v>
      </c>
      <c r="C69" s="11" t="s">
        <v>21</v>
      </c>
      <c r="D69" s="79" t="s">
        <v>464</v>
      </c>
      <c r="E69" s="80"/>
      <c r="F69" s="80"/>
      <c r="G69" s="80"/>
      <c r="H69" s="35">
        <f>SUM(H70:H100)</f>
        <v>0</v>
      </c>
      <c r="I69" s="35">
        <f>SUM(I70:I100)</f>
        <v>0</v>
      </c>
      <c r="J69" s="35">
        <f>H69+I69</f>
        <v>0</v>
      </c>
      <c r="K69" s="26"/>
      <c r="L69" s="35">
        <f>SUM(L70:L100)</f>
        <v>1.2409337999999999</v>
      </c>
      <c r="M69" s="26"/>
      <c r="P69" s="35">
        <f>IF(Q69="PR",J69,SUM(O70:O100))</f>
        <v>0</v>
      </c>
      <c r="Q69" s="26" t="s">
        <v>808</v>
      </c>
      <c r="R69" s="35">
        <f>IF(Q69="HS",H69,0)</f>
        <v>0</v>
      </c>
      <c r="S69" s="35">
        <f>IF(Q69="HS",I69-P69,0)</f>
        <v>0</v>
      </c>
      <c r="T69" s="35">
        <f>IF(Q69="PS",H69,0)</f>
        <v>0</v>
      </c>
      <c r="U69" s="35">
        <f>IF(Q69="PS",I69-P69,0)</f>
        <v>0</v>
      </c>
      <c r="V69" s="35">
        <f>IF(Q69="MP",H69,0)</f>
        <v>0</v>
      </c>
      <c r="W69" s="35">
        <f>IF(Q69="MP",I69-P69,0)</f>
        <v>0</v>
      </c>
      <c r="X69" s="35">
        <f>IF(Q69="OM",H69,0)</f>
        <v>0</v>
      </c>
      <c r="Y69" s="26" t="s">
        <v>200</v>
      </c>
      <c r="AI69" s="35">
        <f>SUM(Z70:Z100)</f>
        <v>0</v>
      </c>
      <c r="AJ69" s="35">
        <f>SUM(AA70:AA100)</f>
        <v>0</v>
      </c>
      <c r="AK69" s="35">
        <f>SUM(AB70:AB100)</f>
        <v>0</v>
      </c>
    </row>
    <row r="70" spans="1:43" ht="12.75">
      <c r="A70" s="4" t="s">
        <v>23</v>
      </c>
      <c r="B70" s="4" t="s">
        <v>200</v>
      </c>
      <c r="C70" s="4" t="s">
        <v>218</v>
      </c>
      <c r="D70" s="4" t="s">
        <v>465</v>
      </c>
      <c r="E70" s="4" t="s">
        <v>776</v>
      </c>
      <c r="F70" s="17">
        <v>64.8</v>
      </c>
      <c r="G70" s="17"/>
      <c r="H70" s="17">
        <f>F70*AE70</f>
        <v>0</v>
      </c>
      <c r="I70" s="17">
        <f>J70-H70</f>
        <v>0</v>
      </c>
      <c r="J70" s="17">
        <f>F70*G70</f>
        <v>0</v>
      </c>
      <c r="K70" s="17">
        <v>0.00099</v>
      </c>
      <c r="L70" s="17">
        <f>F70*K70</f>
        <v>0.064152</v>
      </c>
      <c r="M70" s="29" t="s">
        <v>804</v>
      </c>
      <c r="N70" s="29" t="s">
        <v>7</v>
      </c>
      <c r="O70" s="17">
        <f>IF(N70="5",I70,0)</f>
        <v>0</v>
      </c>
      <c r="Z70" s="17">
        <f>IF(AD70=0,J70,0)</f>
        <v>0</v>
      </c>
      <c r="AA70" s="17">
        <f>IF(AD70=15,J70,0)</f>
        <v>0</v>
      </c>
      <c r="AB70" s="17">
        <f>IF(AD70=21,J70,0)</f>
        <v>0</v>
      </c>
      <c r="AD70" s="33">
        <v>21</v>
      </c>
      <c r="AE70" s="33">
        <f>G70*0.113666666666667</f>
        <v>0</v>
      </c>
      <c r="AF70" s="33">
        <f>G70*(1-0.113666666666667)</f>
        <v>0</v>
      </c>
      <c r="AM70" s="33">
        <f>F70*AE70</f>
        <v>0</v>
      </c>
      <c r="AN70" s="33">
        <f>F70*AF70</f>
        <v>0</v>
      </c>
      <c r="AO70" s="34" t="s">
        <v>822</v>
      </c>
      <c r="AP70" s="34" t="s">
        <v>855</v>
      </c>
      <c r="AQ70" s="26" t="s">
        <v>866</v>
      </c>
    </row>
    <row r="71" spans="4:6" ht="12.75">
      <c r="D71" s="13" t="s">
        <v>466</v>
      </c>
      <c r="F71" s="18">
        <v>0</v>
      </c>
    </row>
    <row r="72" spans="4:6" ht="12.75">
      <c r="D72" s="13" t="s">
        <v>467</v>
      </c>
      <c r="F72" s="18">
        <v>64.8</v>
      </c>
    </row>
    <row r="73" spans="1:43" ht="12.75">
      <c r="A73" s="4" t="s">
        <v>24</v>
      </c>
      <c r="B73" s="4" t="s">
        <v>200</v>
      </c>
      <c r="C73" s="4" t="s">
        <v>219</v>
      </c>
      <c r="D73" s="4" t="s">
        <v>468</v>
      </c>
      <c r="E73" s="4" t="s">
        <v>776</v>
      </c>
      <c r="F73" s="17">
        <v>26.6</v>
      </c>
      <c r="G73" s="17"/>
      <c r="H73" s="17">
        <f>F73*AE73</f>
        <v>0</v>
      </c>
      <c r="I73" s="17">
        <f>J73-H73</f>
        <v>0</v>
      </c>
      <c r="J73" s="17">
        <f>F73*G73</f>
        <v>0</v>
      </c>
      <c r="K73" s="17">
        <v>0</v>
      </c>
      <c r="L73" s="17">
        <f>F73*K73</f>
        <v>0</v>
      </c>
      <c r="M73" s="29" t="s">
        <v>804</v>
      </c>
      <c r="N73" s="29" t="s">
        <v>7</v>
      </c>
      <c r="O73" s="17">
        <f>IF(N73="5",I73,0)</f>
        <v>0</v>
      </c>
      <c r="Z73" s="17">
        <f>IF(AD73=0,J73,0)</f>
        <v>0</v>
      </c>
      <c r="AA73" s="17">
        <f>IF(AD73=15,J73,0)</f>
        <v>0</v>
      </c>
      <c r="AB73" s="17">
        <f>IF(AD73=21,J73,0)</f>
        <v>0</v>
      </c>
      <c r="AD73" s="33">
        <v>21</v>
      </c>
      <c r="AE73" s="33">
        <f>G73*0</f>
        <v>0</v>
      </c>
      <c r="AF73" s="33">
        <f>G73*(1-0)</f>
        <v>0</v>
      </c>
      <c r="AM73" s="33">
        <f>F73*AE73</f>
        <v>0</v>
      </c>
      <c r="AN73" s="33">
        <f>F73*AF73</f>
        <v>0</v>
      </c>
      <c r="AO73" s="34" t="s">
        <v>822</v>
      </c>
      <c r="AP73" s="34" t="s">
        <v>855</v>
      </c>
      <c r="AQ73" s="26" t="s">
        <v>866</v>
      </c>
    </row>
    <row r="74" spans="1:43" ht="12.75">
      <c r="A74" s="4" t="s">
        <v>25</v>
      </c>
      <c r="B74" s="4" t="s">
        <v>200</v>
      </c>
      <c r="C74" s="4" t="s">
        <v>220</v>
      </c>
      <c r="D74" s="4" t="s">
        <v>469</v>
      </c>
      <c r="E74" s="4" t="s">
        <v>776</v>
      </c>
      <c r="F74" s="17">
        <v>471.04</v>
      </c>
      <c r="G74" s="17"/>
      <c r="H74" s="17">
        <f>F74*AE74</f>
        <v>0</v>
      </c>
      <c r="I74" s="17">
        <f>J74-H74</f>
        <v>0</v>
      </c>
      <c r="J74" s="17">
        <f>F74*G74</f>
        <v>0</v>
      </c>
      <c r="K74" s="17">
        <v>0.00086</v>
      </c>
      <c r="L74" s="17">
        <f>F74*K74</f>
        <v>0.4050944</v>
      </c>
      <c r="M74" s="29" t="s">
        <v>804</v>
      </c>
      <c r="N74" s="29" t="s">
        <v>7</v>
      </c>
      <c r="O74" s="17">
        <f>IF(N74="5",I74,0)</f>
        <v>0</v>
      </c>
      <c r="Z74" s="17">
        <f>IF(AD74=0,J74,0)</f>
        <v>0</v>
      </c>
      <c r="AA74" s="17">
        <f>IF(AD74=15,J74,0)</f>
        <v>0</v>
      </c>
      <c r="AB74" s="17">
        <f>IF(AD74=21,J74,0)</f>
        <v>0</v>
      </c>
      <c r="AD74" s="33">
        <v>21</v>
      </c>
      <c r="AE74" s="33">
        <f>G74*0.0796981409902448</f>
        <v>0</v>
      </c>
      <c r="AF74" s="33">
        <f>G74*(1-0.0796981409902448)</f>
        <v>0</v>
      </c>
      <c r="AM74" s="33">
        <f>F74*AE74</f>
        <v>0</v>
      </c>
      <c r="AN74" s="33">
        <f>F74*AF74</f>
        <v>0</v>
      </c>
      <c r="AO74" s="34" t="s">
        <v>822</v>
      </c>
      <c r="AP74" s="34" t="s">
        <v>855</v>
      </c>
      <c r="AQ74" s="26" t="s">
        <v>866</v>
      </c>
    </row>
    <row r="75" spans="4:6" ht="12.75">
      <c r="D75" s="13" t="s">
        <v>470</v>
      </c>
      <c r="F75" s="18">
        <v>0</v>
      </c>
    </row>
    <row r="76" spans="4:6" ht="12.75">
      <c r="D76" s="13" t="s">
        <v>471</v>
      </c>
      <c r="F76" s="18">
        <v>46</v>
      </c>
    </row>
    <row r="77" spans="4:6" ht="12.75">
      <c r="D77" s="13" t="s">
        <v>472</v>
      </c>
      <c r="F77" s="18">
        <v>0</v>
      </c>
    </row>
    <row r="78" spans="4:6" ht="12.75">
      <c r="D78" s="13" t="s">
        <v>473</v>
      </c>
      <c r="F78" s="18">
        <v>42.25</v>
      </c>
    </row>
    <row r="79" spans="4:6" ht="12.75">
      <c r="D79" s="13" t="s">
        <v>474</v>
      </c>
      <c r="F79" s="18">
        <v>0</v>
      </c>
    </row>
    <row r="80" spans="4:6" ht="12.75">
      <c r="D80" s="13" t="s">
        <v>475</v>
      </c>
      <c r="F80" s="18">
        <v>88.04</v>
      </c>
    </row>
    <row r="81" spans="4:6" ht="12.75">
      <c r="D81" s="13" t="s">
        <v>476</v>
      </c>
      <c r="F81" s="18">
        <v>0</v>
      </c>
    </row>
    <row r="82" spans="4:6" ht="12.75">
      <c r="D82" s="13" t="s">
        <v>477</v>
      </c>
      <c r="F82" s="18">
        <v>165</v>
      </c>
    </row>
    <row r="83" spans="4:6" ht="12.75">
      <c r="D83" s="13" t="s">
        <v>478</v>
      </c>
      <c r="F83" s="18">
        <v>0</v>
      </c>
    </row>
    <row r="84" spans="4:6" ht="12.75">
      <c r="D84" s="13" t="s">
        <v>479</v>
      </c>
      <c r="F84" s="18">
        <v>57.75</v>
      </c>
    </row>
    <row r="85" spans="4:6" ht="12.75">
      <c r="D85" s="13" t="s">
        <v>435</v>
      </c>
      <c r="F85" s="18">
        <v>0</v>
      </c>
    </row>
    <row r="86" spans="4:6" ht="12.75">
      <c r="D86" s="13" t="s">
        <v>480</v>
      </c>
      <c r="F86" s="18">
        <v>72</v>
      </c>
    </row>
    <row r="87" spans="1:43" ht="12.75">
      <c r="A87" s="4" t="s">
        <v>26</v>
      </c>
      <c r="B87" s="4" t="s">
        <v>200</v>
      </c>
      <c r="C87" s="4" t="s">
        <v>221</v>
      </c>
      <c r="D87" s="4" t="s">
        <v>481</v>
      </c>
      <c r="E87" s="4" t="s">
        <v>776</v>
      </c>
      <c r="F87" s="17">
        <v>471.04</v>
      </c>
      <c r="G87" s="17"/>
      <c r="H87" s="17">
        <f>F87*AE87</f>
        <v>0</v>
      </c>
      <c r="I87" s="17">
        <f>J87-H87</f>
        <v>0</v>
      </c>
      <c r="J87" s="17">
        <f>F87*G87</f>
        <v>0</v>
      </c>
      <c r="K87" s="17">
        <v>0</v>
      </c>
      <c r="L87" s="17">
        <f>F87*K87</f>
        <v>0</v>
      </c>
      <c r="M87" s="29" t="s">
        <v>804</v>
      </c>
      <c r="N87" s="29" t="s">
        <v>7</v>
      </c>
      <c r="O87" s="17">
        <f>IF(N87="5",I87,0)</f>
        <v>0</v>
      </c>
      <c r="Z87" s="17">
        <f>IF(AD87=0,J87,0)</f>
        <v>0</v>
      </c>
      <c r="AA87" s="17">
        <f>IF(AD87=15,J87,0)</f>
        <v>0</v>
      </c>
      <c r="AB87" s="17">
        <f>IF(AD87=21,J87,0)</f>
        <v>0</v>
      </c>
      <c r="AD87" s="33">
        <v>21</v>
      </c>
      <c r="AE87" s="33">
        <f>G87*0</f>
        <v>0</v>
      </c>
      <c r="AF87" s="33">
        <f>G87*(1-0)</f>
        <v>0</v>
      </c>
      <c r="AM87" s="33">
        <f>F87*AE87</f>
        <v>0</v>
      </c>
      <c r="AN87" s="33">
        <f>F87*AF87</f>
        <v>0</v>
      </c>
      <c r="AO87" s="34" t="s">
        <v>822</v>
      </c>
      <c r="AP87" s="34" t="s">
        <v>855</v>
      </c>
      <c r="AQ87" s="26" t="s">
        <v>866</v>
      </c>
    </row>
    <row r="88" spans="1:43" ht="12.75">
      <c r="A88" s="4" t="s">
        <v>27</v>
      </c>
      <c r="B88" s="4" t="s">
        <v>200</v>
      </c>
      <c r="C88" s="4" t="s">
        <v>222</v>
      </c>
      <c r="D88" s="4" t="s">
        <v>482</v>
      </c>
      <c r="E88" s="4" t="s">
        <v>776</v>
      </c>
      <c r="F88" s="17">
        <v>63.85</v>
      </c>
      <c r="G88" s="17"/>
      <c r="H88" s="17">
        <f>F88*AE88</f>
        <v>0</v>
      </c>
      <c r="I88" s="17">
        <f>J88-H88</f>
        <v>0</v>
      </c>
      <c r="J88" s="17">
        <f>F88*G88</f>
        <v>0</v>
      </c>
      <c r="K88" s="17">
        <v>0.00407</v>
      </c>
      <c r="L88" s="17">
        <f>F88*K88</f>
        <v>0.2598695</v>
      </c>
      <c r="M88" s="29" t="s">
        <v>804</v>
      </c>
      <c r="N88" s="29" t="s">
        <v>7</v>
      </c>
      <c r="O88" s="17">
        <f>IF(N88="5",I88,0)</f>
        <v>0</v>
      </c>
      <c r="Z88" s="17">
        <f>IF(AD88=0,J88,0)</f>
        <v>0</v>
      </c>
      <c r="AA88" s="17">
        <f>IF(AD88=15,J88,0)</f>
        <v>0</v>
      </c>
      <c r="AB88" s="17">
        <f>IF(AD88=21,J88,0)</f>
        <v>0</v>
      </c>
      <c r="AD88" s="33">
        <v>21</v>
      </c>
      <c r="AE88" s="33">
        <f>G88*0.0627450980392157</f>
        <v>0</v>
      </c>
      <c r="AF88" s="33">
        <f>G88*(1-0.0627450980392157)</f>
        <v>0</v>
      </c>
      <c r="AM88" s="33">
        <f>F88*AE88</f>
        <v>0</v>
      </c>
      <c r="AN88" s="33">
        <f>F88*AF88</f>
        <v>0</v>
      </c>
      <c r="AO88" s="34" t="s">
        <v>822</v>
      </c>
      <c r="AP88" s="34" t="s">
        <v>855</v>
      </c>
      <c r="AQ88" s="26" t="s">
        <v>866</v>
      </c>
    </row>
    <row r="89" spans="4:6" ht="12.75">
      <c r="D89" s="13" t="s">
        <v>483</v>
      </c>
      <c r="F89" s="18">
        <v>0</v>
      </c>
    </row>
    <row r="90" spans="4:6" ht="12.75">
      <c r="D90" s="13" t="s">
        <v>484</v>
      </c>
      <c r="F90" s="18">
        <v>63.85</v>
      </c>
    </row>
    <row r="91" spans="1:43" ht="12.75">
      <c r="A91" s="4" t="s">
        <v>28</v>
      </c>
      <c r="B91" s="4" t="s">
        <v>200</v>
      </c>
      <c r="C91" s="4" t="s">
        <v>223</v>
      </c>
      <c r="D91" s="4" t="s">
        <v>485</v>
      </c>
      <c r="E91" s="4" t="s">
        <v>776</v>
      </c>
      <c r="F91" s="17">
        <v>63.85</v>
      </c>
      <c r="G91" s="17"/>
      <c r="H91" s="17">
        <f>F91*AE91</f>
        <v>0</v>
      </c>
      <c r="I91" s="17">
        <f>J91-H91</f>
        <v>0</v>
      </c>
      <c r="J91" s="17">
        <f>F91*G91</f>
        <v>0</v>
      </c>
      <c r="K91" s="17">
        <v>0.00149</v>
      </c>
      <c r="L91" s="17">
        <f>F91*K91</f>
        <v>0.0951365</v>
      </c>
      <c r="M91" s="29" t="s">
        <v>804</v>
      </c>
      <c r="N91" s="29" t="s">
        <v>7</v>
      </c>
      <c r="O91" s="17">
        <f>IF(N91="5",I91,0)</f>
        <v>0</v>
      </c>
      <c r="Z91" s="17">
        <f>IF(AD91=0,J91,0)</f>
        <v>0</v>
      </c>
      <c r="AA91" s="17">
        <f>IF(AD91=15,J91,0)</f>
        <v>0</v>
      </c>
      <c r="AB91" s="17">
        <f>IF(AD91=21,J91,0)</f>
        <v>0</v>
      </c>
      <c r="AD91" s="33">
        <v>21</v>
      </c>
      <c r="AE91" s="33">
        <f>G91*0.17591054313099</f>
        <v>0</v>
      </c>
      <c r="AF91" s="33">
        <f>G91*(1-0.17591054313099)</f>
        <v>0</v>
      </c>
      <c r="AM91" s="33">
        <f>F91*AE91</f>
        <v>0</v>
      </c>
      <c r="AN91" s="33">
        <f>F91*AF91</f>
        <v>0</v>
      </c>
      <c r="AO91" s="34" t="s">
        <v>822</v>
      </c>
      <c r="AP91" s="34" t="s">
        <v>855</v>
      </c>
      <c r="AQ91" s="26" t="s">
        <v>866</v>
      </c>
    </row>
    <row r="92" spans="1:43" ht="12.75">
      <c r="A92" s="4" t="s">
        <v>29</v>
      </c>
      <c r="B92" s="4" t="s">
        <v>200</v>
      </c>
      <c r="C92" s="4" t="s">
        <v>224</v>
      </c>
      <c r="D92" s="4" t="s">
        <v>486</v>
      </c>
      <c r="E92" s="4" t="s">
        <v>776</v>
      </c>
      <c r="F92" s="17">
        <v>63.85</v>
      </c>
      <c r="G92" s="17"/>
      <c r="H92" s="17">
        <f>F92*AE92</f>
        <v>0</v>
      </c>
      <c r="I92" s="17">
        <f>J92-H92</f>
        <v>0</v>
      </c>
      <c r="J92" s="17">
        <f>F92*G92</f>
        <v>0</v>
      </c>
      <c r="K92" s="17">
        <v>0</v>
      </c>
      <c r="L92" s="17">
        <f>F92*K92</f>
        <v>0</v>
      </c>
      <c r="M92" s="29" t="s">
        <v>804</v>
      </c>
      <c r="N92" s="29" t="s">
        <v>7</v>
      </c>
      <c r="O92" s="17">
        <f>IF(N92="5",I92,0)</f>
        <v>0</v>
      </c>
      <c r="Z92" s="17">
        <f>IF(AD92=0,J92,0)</f>
        <v>0</v>
      </c>
      <c r="AA92" s="17">
        <f>IF(AD92=15,J92,0)</f>
        <v>0</v>
      </c>
      <c r="AB92" s="17">
        <f>IF(AD92=21,J92,0)</f>
        <v>0</v>
      </c>
      <c r="AD92" s="33">
        <v>21</v>
      </c>
      <c r="AE92" s="33">
        <f>G92*0</f>
        <v>0</v>
      </c>
      <c r="AF92" s="33">
        <f>G92*(1-0)</f>
        <v>0</v>
      </c>
      <c r="AM92" s="33">
        <f>F92*AE92</f>
        <v>0</v>
      </c>
      <c r="AN92" s="33">
        <f>F92*AF92</f>
        <v>0</v>
      </c>
      <c r="AO92" s="34" t="s">
        <v>822</v>
      </c>
      <c r="AP92" s="34" t="s">
        <v>855</v>
      </c>
      <c r="AQ92" s="26" t="s">
        <v>866</v>
      </c>
    </row>
    <row r="93" spans="1:43" ht="12.75">
      <c r="A93" s="4" t="s">
        <v>30</v>
      </c>
      <c r="B93" s="4" t="s">
        <v>200</v>
      </c>
      <c r="C93" s="4" t="s">
        <v>225</v>
      </c>
      <c r="D93" s="4" t="s">
        <v>487</v>
      </c>
      <c r="E93" s="4" t="s">
        <v>776</v>
      </c>
      <c r="F93" s="17">
        <v>69.89</v>
      </c>
      <c r="G93" s="17"/>
      <c r="H93" s="17">
        <f>F93*AE93</f>
        <v>0</v>
      </c>
      <c r="I93" s="17">
        <f>J93-H93</f>
        <v>0</v>
      </c>
      <c r="J93" s="17">
        <f>F93*G93</f>
        <v>0</v>
      </c>
      <c r="K93" s="17">
        <v>0.00485</v>
      </c>
      <c r="L93" s="17">
        <f>F93*K93</f>
        <v>0.3389665</v>
      </c>
      <c r="M93" s="29" t="s">
        <v>804</v>
      </c>
      <c r="N93" s="29" t="s">
        <v>7</v>
      </c>
      <c r="O93" s="17">
        <f>IF(N93="5",I93,0)</f>
        <v>0</v>
      </c>
      <c r="Z93" s="17">
        <f>IF(AD93=0,J93,0)</f>
        <v>0</v>
      </c>
      <c r="AA93" s="17">
        <f>IF(AD93=15,J93,0)</f>
        <v>0</v>
      </c>
      <c r="AB93" s="17">
        <f>IF(AD93=21,J93,0)</f>
        <v>0</v>
      </c>
      <c r="AD93" s="33">
        <v>21</v>
      </c>
      <c r="AE93" s="33">
        <f>G93*0.0560714285714286</f>
        <v>0</v>
      </c>
      <c r="AF93" s="33">
        <f>G93*(1-0.0560714285714286)</f>
        <v>0</v>
      </c>
      <c r="AM93" s="33">
        <f>F93*AE93</f>
        <v>0</v>
      </c>
      <c r="AN93" s="33">
        <f>F93*AF93</f>
        <v>0</v>
      </c>
      <c r="AO93" s="34" t="s">
        <v>822</v>
      </c>
      <c r="AP93" s="34" t="s">
        <v>855</v>
      </c>
      <c r="AQ93" s="26" t="s">
        <v>866</v>
      </c>
    </row>
    <row r="94" spans="4:6" ht="12.75">
      <c r="D94" s="13" t="s">
        <v>488</v>
      </c>
      <c r="F94" s="18">
        <v>0</v>
      </c>
    </row>
    <row r="95" spans="4:6" ht="12.75">
      <c r="D95" s="13" t="s">
        <v>489</v>
      </c>
      <c r="F95" s="18">
        <v>69.89</v>
      </c>
    </row>
    <row r="96" spans="1:43" ht="12.75">
      <c r="A96" s="4" t="s">
        <v>31</v>
      </c>
      <c r="B96" s="4" t="s">
        <v>200</v>
      </c>
      <c r="C96" s="4" t="s">
        <v>226</v>
      </c>
      <c r="D96" s="4" t="s">
        <v>490</v>
      </c>
      <c r="E96" s="4" t="s">
        <v>776</v>
      </c>
      <c r="F96" s="17">
        <v>69.89</v>
      </c>
      <c r="G96" s="17"/>
      <c r="H96" s="17">
        <f>F96*AE96</f>
        <v>0</v>
      </c>
      <c r="I96" s="17">
        <f>J96-H96</f>
        <v>0</v>
      </c>
      <c r="J96" s="17">
        <f>F96*G96</f>
        <v>0</v>
      </c>
      <c r="K96" s="17">
        <v>0</v>
      </c>
      <c r="L96" s="17">
        <f>F96*K96</f>
        <v>0</v>
      </c>
      <c r="M96" s="29" t="s">
        <v>804</v>
      </c>
      <c r="N96" s="29" t="s">
        <v>7</v>
      </c>
      <c r="O96" s="17">
        <f>IF(N96="5",I96,0)</f>
        <v>0</v>
      </c>
      <c r="Z96" s="17">
        <f>IF(AD96=0,J96,0)</f>
        <v>0</v>
      </c>
      <c r="AA96" s="17">
        <f>IF(AD96=15,J96,0)</f>
        <v>0</v>
      </c>
      <c r="AB96" s="17">
        <f>IF(AD96=21,J96,0)</f>
        <v>0</v>
      </c>
      <c r="AD96" s="33">
        <v>21</v>
      </c>
      <c r="AE96" s="33">
        <f>G96*0</f>
        <v>0</v>
      </c>
      <c r="AF96" s="33">
        <f>G96*(1-0)</f>
        <v>0</v>
      </c>
      <c r="AM96" s="33">
        <f>F96*AE96</f>
        <v>0</v>
      </c>
      <c r="AN96" s="33">
        <f>F96*AF96</f>
        <v>0</v>
      </c>
      <c r="AO96" s="34" t="s">
        <v>822</v>
      </c>
      <c r="AP96" s="34" t="s">
        <v>855</v>
      </c>
      <c r="AQ96" s="26" t="s">
        <v>866</v>
      </c>
    </row>
    <row r="97" spans="1:43" ht="12.75">
      <c r="A97" s="4" t="s">
        <v>32</v>
      </c>
      <c r="B97" s="4" t="s">
        <v>200</v>
      </c>
      <c r="C97" s="4" t="s">
        <v>227</v>
      </c>
      <c r="D97" s="4" t="s">
        <v>491</v>
      </c>
      <c r="E97" s="4" t="s">
        <v>778</v>
      </c>
      <c r="F97" s="17">
        <v>55.91</v>
      </c>
      <c r="G97" s="17"/>
      <c r="H97" s="17">
        <f>F97*AE97</f>
        <v>0</v>
      </c>
      <c r="I97" s="17">
        <f>J97-H97</f>
        <v>0</v>
      </c>
      <c r="J97" s="17">
        <f>F97*G97</f>
        <v>0</v>
      </c>
      <c r="K97" s="17">
        <v>0.00139</v>
      </c>
      <c r="L97" s="17">
        <f>F97*K97</f>
        <v>0.07771489999999999</v>
      </c>
      <c r="M97" s="29" t="s">
        <v>804</v>
      </c>
      <c r="N97" s="29" t="s">
        <v>7</v>
      </c>
      <c r="O97" s="17">
        <f>IF(N97="5",I97,0)</f>
        <v>0</v>
      </c>
      <c r="Z97" s="17">
        <f>IF(AD97=0,J97,0)</f>
        <v>0</v>
      </c>
      <c r="AA97" s="17">
        <f>IF(AD97=15,J97,0)</f>
        <v>0</v>
      </c>
      <c r="AB97" s="17">
        <f>IF(AD97=21,J97,0)</f>
        <v>0</v>
      </c>
      <c r="AD97" s="33">
        <v>21</v>
      </c>
      <c r="AE97" s="33">
        <f>G97*0.0879695672848312</f>
        <v>0</v>
      </c>
      <c r="AF97" s="33">
        <f>G97*(1-0.0879695672848312)</f>
        <v>0</v>
      </c>
      <c r="AM97" s="33">
        <f>F97*AE97</f>
        <v>0</v>
      </c>
      <c r="AN97" s="33">
        <f>F97*AF97</f>
        <v>0</v>
      </c>
      <c r="AO97" s="34" t="s">
        <v>822</v>
      </c>
      <c r="AP97" s="34" t="s">
        <v>855</v>
      </c>
      <c r="AQ97" s="26" t="s">
        <v>866</v>
      </c>
    </row>
    <row r="98" spans="4:6" ht="12.75">
      <c r="D98" s="13" t="s">
        <v>434</v>
      </c>
      <c r="F98" s="18">
        <v>55.91</v>
      </c>
    </row>
    <row r="99" spans="1:43" ht="12.75">
      <c r="A99" s="4" t="s">
        <v>33</v>
      </c>
      <c r="B99" s="4" t="s">
        <v>200</v>
      </c>
      <c r="C99" s="4" t="s">
        <v>228</v>
      </c>
      <c r="D99" s="4" t="s">
        <v>492</v>
      </c>
      <c r="E99" s="4" t="s">
        <v>778</v>
      </c>
      <c r="F99" s="17">
        <v>55.91</v>
      </c>
      <c r="G99" s="17"/>
      <c r="H99" s="17">
        <f>F99*AE99</f>
        <v>0</v>
      </c>
      <c r="I99" s="17">
        <f>J99-H99</f>
        <v>0</v>
      </c>
      <c r="J99" s="17">
        <f>F99*G99</f>
        <v>0</v>
      </c>
      <c r="K99" s="17">
        <v>0</v>
      </c>
      <c r="L99" s="17">
        <f>F99*K99</f>
        <v>0</v>
      </c>
      <c r="M99" s="29" t="s">
        <v>804</v>
      </c>
      <c r="N99" s="29" t="s">
        <v>7</v>
      </c>
      <c r="O99" s="17">
        <f>IF(N99="5",I99,0)</f>
        <v>0</v>
      </c>
      <c r="Z99" s="17">
        <f>IF(AD99=0,J99,0)</f>
        <v>0</v>
      </c>
      <c r="AA99" s="17">
        <f>IF(AD99=15,J99,0)</f>
        <v>0</v>
      </c>
      <c r="AB99" s="17">
        <f>IF(AD99=21,J99,0)</f>
        <v>0</v>
      </c>
      <c r="AD99" s="33">
        <v>21</v>
      </c>
      <c r="AE99" s="33">
        <f>G99*0</f>
        <v>0</v>
      </c>
      <c r="AF99" s="33">
        <f>G99*(1-0)</f>
        <v>0</v>
      </c>
      <c r="AM99" s="33">
        <f>F99*AE99</f>
        <v>0</v>
      </c>
      <c r="AN99" s="33">
        <f>F99*AF99</f>
        <v>0</v>
      </c>
      <c r="AO99" s="34" t="s">
        <v>822</v>
      </c>
      <c r="AP99" s="34" t="s">
        <v>855</v>
      </c>
      <c r="AQ99" s="26" t="s">
        <v>866</v>
      </c>
    </row>
    <row r="100" spans="1:43" ht="12.75">
      <c r="A100" s="4" t="s">
        <v>34</v>
      </c>
      <c r="B100" s="4" t="s">
        <v>200</v>
      </c>
      <c r="C100" s="4" t="s">
        <v>224</v>
      </c>
      <c r="D100" s="4" t="s">
        <v>486</v>
      </c>
      <c r="E100" s="4" t="s">
        <v>776</v>
      </c>
      <c r="F100" s="17">
        <v>63.85</v>
      </c>
      <c r="G100" s="17"/>
      <c r="H100" s="17">
        <f>F100*AE100</f>
        <v>0</v>
      </c>
      <c r="I100" s="17">
        <f>J100-H100</f>
        <v>0</v>
      </c>
      <c r="J100" s="17">
        <f>F100*G100</f>
        <v>0</v>
      </c>
      <c r="K100" s="17">
        <v>0</v>
      </c>
      <c r="L100" s="17">
        <f>F100*K100</f>
        <v>0</v>
      </c>
      <c r="M100" s="29" t="s">
        <v>804</v>
      </c>
      <c r="N100" s="29" t="s">
        <v>7</v>
      </c>
      <c r="O100" s="17">
        <f>IF(N100="5",I100,0)</f>
        <v>0</v>
      </c>
      <c r="Z100" s="17">
        <f>IF(AD100=0,J100,0)</f>
        <v>0</v>
      </c>
      <c r="AA100" s="17">
        <f>IF(AD100=15,J100,0)</f>
        <v>0</v>
      </c>
      <c r="AB100" s="17">
        <f>IF(AD100=21,J100,0)</f>
        <v>0</v>
      </c>
      <c r="AD100" s="33">
        <v>21</v>
      </c>
      <c r="AE100" s="33">
        <f>G100*0</f>
        <v>0</v>
      </c>
      <c r="AF100" s="33">
        <f>G100*(1-0)</f>
        <v>0</v>
      </c>
      <c r="AM100" s="33">
        <f>F100*AE100</f>
        <v>0</v>
      </c>
      <c r="AN100" s="33">
        <f>F100*AF100</f>
        <v>0</v>
      </c>
      <c r="AO100" s="34" t="s">
        <v>822</v>
      </c>
      <c r="AP100" s="34" t="s">
        <v>855</v>
      </c>
      <c r="AQ100" s="26" t="s">
        <v>866</v>
      </c>
    </row>
    <row r="101" spans="1:37" ht="12.75">
      <c r="A101" s="3"/>
      <c r="B101" s="11" t="s">
        <v>200</v>
      </c>
      <c r="C101" s="11" t="s">
        <v>22</v>
      </c>
      <c r="D101" s="79" t="s">
        <v>493</v>
      </c>
      <c r="E101" s="80"/>
      <c r="F101" s="80"/>
      <c r="G101" s="80"/>
      <c r="H101" s="35">
        <f>SUM(H102:H116)</f>
        <v>0</v>
      </c>
      <c r="I101" s="35">
        <f>SUM(I102:I116)</f>
        <v>0</v>
      </c>
      <c r="J101" s="35">
        <f>H101+I101</f>
        <v>0</v>
      </c>
      <c r="K101" s="26"/>
      <c r="L101" s="35">
        <f>SUM(L102:L116)</f>
        <v>0</v>
      </c>
      <c r="M101" s="26"/>
      <c r="P101" s="35">
        <f>IF(Q101="PR",J101,SUM(O102:O116))</f>
        <v>0</v>
      </c>
      <c r="Q101" s="26" t="s">
        <v>808</v>
      </c>
      <c r="R101" s="35">
        <f>IF(Q101="HS",H101,0)</f>
        <v>0</v>
      </c>
      <c r="S101" s="35">
        <f>IF(Q101="HS",I101-P101,0)</f>
        <v>0</v>
      </c>
      <c r="T101" s="35">
        <f>IF(Q101="PS",H101,0)</f>
        <v>0</v>
      </c>
      <c r="U101" s="35">
        <f>IF(Q101="PS",I101-P101,0)</f>
        <v>0</v>
      </c>
      <c r="V101" s="35">
        <f>IF(Q101="MP",H101,0)</f>
        <v>0</v>
      </c>
      <c r="W101" s="35">
        <f>IF(Q101="MP",I101-P101,0)</f>
        <v>0</v>
      </c>
      <c r="X101" s="35">
        <f>IF(Q101="OM",H101,0)</f>
        <v>0</v>
      </c>
      <c r="Y101" s="26" t="s">
        <v>200</v>
      </c>
      <c r="AI101" s="35">
        <f>SUM(Z102:Z116)</f>
        <v>0</v>
      </c>
      <c r="AJ101" s="35">
        <f>SUM(AA102:AA116)</f>
        <v>0</v>
      </c>
      <c r="AK101" s="35">
        <f>SUM(AB102:AB116)</f>
        <v>0</v>
      </c>
    </row>
    <row r="102" spans="1:43" ht="12.75">
      <c r="A102" s="4" t="s">
        <v>35</v>
      </c>
      <c r="B102" s="4" t="s">
        <v>200</v>
      </c>
      <c r="C102" s="4" t="s">
        <v>229</v>
      </c>
      <c r="D102" s="4" t="s">
        <v>494</v>
      </c>
      <c r="E102" s="4" t="s">
        <v>778</v>
      </c>
      <c r="F102" s="17">
        <v>270.53</v>
      </c>
      <c r="G102" s="17"/>
      <c r="H102" s="17">
        <f>F102*AE102</f>
        <v>0</v>
      </c>
      <c r="I102" s="17">
        <f>J102-H102</f>
        <v>0</v>
      </c>
      <c r="J102" s="17">
        <f>F102*G102</f>
        <v>0</v>
      </c>
      <c r="K102" s="17">
        <v>0</v>
      </c>
      <c r="L102" s="17">
        <f>F102*K102</f>
        <v>0</v>
      </c>
      <c r="M102" s="29" t="s">
        <v>804</v>
      </c>
      <c r="N102" s="29" t="s">
        <v>7</v>
      </c>
      <c r="O102" s="17">
        <f>IF(N102="5",I102,0)</f>
        <v>0</v>
      </c>
      <c r="Z102" s="17">
        <f>IF(AD102=0,J102,0)</f>
        <v>0</v>
      </c>
      <c r="AA102" s="17">
        <f>IF(AD102=15,J102,0)</f>
        <v>0</v>
      </c>
      <c r="AB102" s="17">
        <f>IF(AD102=21,J102,0)</f>
        <v>0</v>
      </c>
      <c r="AD102" s="33">
        <v>21</v>
      </c>
      <c r="AE102" s="33">
        <f>G102*0</f>
        <v>0</v>
      </c>
      <c r="AF102" s="33">
        <f>G102*(1-0)</f>
        <v>0</v>
      </c>
      <c r="AM102" s="33">
        <f>F102*AE102</f>
        <v>0</v>
      </c>
      <c r="AN102" s="33">
        <f>F102*AF102</f>
        <v>0</v>
      </c>
      <c r="AO102" s="34" t="s">
        <v>823</v>
      </c>
      <c r="AP102" s="34" t="s">
        <v>855</v>
      </c>
      <c r="AQ102" s="26" t="s">
        <v>866</v>
      </c>
    </row>
    <row r="103" spans="4:6" ht="12.75">
      <c r="D103" s="13" t="s">
        <v>495</v>
      </c>
      <c r="F103" s="18">
        <v>270.53</v>
      </c>
    </row>
    <row r="104" spans="1:43" ht="12.75">
      <c r="A104" s="4" t="s">
        <v>36</v>
      </c>
      <c r="B104" s="4" t="s">
        <v>200</v>
      </c>
      <c r="C104" s="4" t="s">
        <v>230</v>
      </c>
      <c r="D104" s="4" t="s">
        <v>496</v>
      </c>
      <c r="E104" s="4" t="s">
        <v>778</v>
      </c>
      <c r="F104" s="17">
        <v>133.91</v>
      </c>
      <c r="G104" s="17"/>
      <c r="H104" s="17">
        <f>F104*AE104</f>
        <v>0</v>
      </c>
      <c r="I104" s="17">
        <f>J104-H104</f>
        <v>0</v>
      </c>
      <c r="J104" s="17">
        <f>F104*G104</f>
        <v>0</v>
      </c>
      <c r="K104" s="17">
        <v>0</v>
      </c>
      <c r="L104" s="17">
        <f>F104*K104</f>
        <v>0</v>
      </c>
      <c r="M104" s="29" t="s">
        <v>804</v>
      </c>
      <c r="N104" s="29" t="s">
        <v>7</v>
      </c>
      <c r="O104" s="17">
        <f>IF(N104="5",I104,0)</f>
        <v>0</v>
      </c>
      <c r="Z104" s="17">
        <f>IF(AD104=0,J104,0)</f>
        <v>0</v>
      </c>
      <c r="AA104" s="17">
        <f>IF(AD104=15,J104,0)</f>
        <v>0</v>
      </c>
      <c r="AB104" s="17">
        <f>IF(AD104=21,J104,0)</f>
        <v>0</v>
      </c>
      <c r="AD104" s="33">
        <v>21</v>
      </c>
      <c r="AE104" s="33">
        <f>G104*0</f>
        <v>0</v>
      </c>
      <c r="AF104" s="33">
        <f>G104*(1-0)</f>
        <v>0</v>
      </c>
      <c r="AM104" s="33">
        <f>F104*AE104</f>
        <v>0</v>
      </c>
      <c r="AN104" s="33">
        <f>F104*AF104</f>
        <v>0</v>
      </c>
      <c r="AO104" s="34" t="s">
        <v>823</v>
      </c>
      <c r="AP104" s="34" t="s">
        <v>855</v>
      </c>
      <c r="AQ104" s="26" t="s">
        <v>866</v>
      </c>
    </row>
    <row r="105" spans="4:6" ht="12.75">
      <c r="D105" s="13" t="s">
        <v>497</v>
      </c>
      <c r="F105" s="18">
        <v>0</v>
      </c>
    </row>
    <row r="106" spans="4:6" ht="12.75">
      <c r="D106" s="13" t="s">
        <v>498</v>
      </c>
      <c r="F106" s="18">
        <v>49.1</v>
      </c>
    </row>
    <row r="107" spans="4:6" ht="12.75">
      <c r="D107" s="13" t="s">
        <v>499</v>
      </c>
      <c r="F107" s="18">
        <v>31.25</v>
      </c>
    </row>
    <row r="108" spans="4:6" ht="12.75">
      <c r="D108" s="13" t="s">
        <v>500</v>
      </c>
      <c r="F108" s="18">
        <v>35.26</v>
      </c>
    </row>
    <row r="109" spans="4:6" ht="12.75">
      <c r="D109" s="13" t="s">
        <v>501</v>
      </c>
      <c r="F109" s="18">
        <v>13.9</v>
      </c>
    </row>
    <row r="110" spans="4:6" ht="12.75">
      <c r="D110" s="13" t="s">
        <v>502</v>
      </c>
      <c r="F110" s="18">
        <v>4.4</v>
      </c>
    </row>
    <row r="111" spans="1:43" ht="12.75">
      <c r="A111" s="4" t="s">
        <v>37</v>
      </c>
      <c r="B111" s="4" t="s">
        <v>200</v>
      </c>
      <c r="C111" s="4" t="s">
        <v>231</v>
      </c>
      <c r="D111" s="4" t="s">
        <v>503</v>
      </c>
      <c r="E111" s="4" t="s">
        <v>778</v>
      </c>
      <c r="F111" s="17">
        <v>241.04</v>
      </c>
      <c r="G111" s="17"/>
      <c r="H111" s="17">
        <f>F111*AE111</f>
        <v>0</v>
      </c>
      <c r="I111" s="17">
        <f>J111-H111</f>
        <v>0</v>
      </c>
      <c r="J111" s="17">
        <f>F111*G111</f>
        <v>0</v>
      </c>
      <c r="K111" s="17">
        <v>0</v>
      </c>
      <c r="L111" s="17">
        <f>F111*K111</f>
        <v>0</v>
      </c>
      <c r="M111" s="29" t="s">
        <v>804</v>
      </c>
      <c r="N111" s="29" t="s">
        <v>7</v>
      </c>
      <c r="O111" s="17">
        <f>IF(N111="5",I111,0)</f>
        <v>0</v>
      </c>
      <c r="Z111" s="17">
        <f>IF(AD111=0,J111,0)</f>
        <v>0</v>
      </c>
      <c r="AA111" s="17">
        <f>IF(AD111=15,J111,0)</f>
        <v>0</v>
      </c>
      <c r="AB111" s="17">
        <f>IF(AD111=21,J111,0)</f>
        <v>0</v>
      </c>
      <c r="AD111" s="33">
        <v>21</v>
      </c>
      <c r="AE111" s="33">
        <f>G111*0</f>
        <v>0</v>
      </c>
      <c r="AF111" s="33">
        <f>G111*(1-0)</f>
        <v>0</v>
      </c>
      <c r="AM111" s="33">
        <f>F111*AE111</f>
        <v>0</v>
      </c>
      <c r="AN111" s="33">
        <f>F111*AF111</f>
        <v>0</v>
      </c>
      <c r="AO111" s="34" t="s">
        <v>823</v>
      </c>
      <c r="AP111" s="34" t="s">
        <v>855</v>
      </c>
      <c r="AQ111" s="26" t="s">
        <v>866</v>
      </c>
    </row>
    <row r="112" spans="4:6" ht="12.75">
      <c r="D112" s="13" t="s">
        <v>504</v>
      </c>
      <c r="F112" s="18">
        <v>241.04</v>
      </c>
    </row>
    <row r="113" spans="1:43" ht="12.75">
      <c r="A113" s="4" t="s">
        <v>38</v>
      </c>
      <c r="B113" s="4" t="s">
        <v>200</v>
      </c>
      <c r="C113" s="4" t="s">
        <v>232</v>
      </c>
      <c r="D113" s="4" t="s">
        <v>505</v>
      </c>
      <c r="E113" s="4" t="s">
        <v>778</v>
      </c>
      <c r="F113" s="17">
        <v>715.94</v>
      </c>
      <c r="G113" s="17"/>
      <c r="H113" s="17">
        <f>F113*AE113</f>
        <v>0</v>
      </c>
      <c r="I113" s="17">
        <f>J113-H113</f>
        <v>0</v>
      </c>
      <c r="J113" s="17">
        <f>F113*G113</f>
        <v>0</v>
      </c>
      <c r="K113" s="17">
        <v>0</v>
      </c>
      <c r="L113" s="17">
        <f>F113*K113</f>
        <v>0</v>
      </c>
      <c r="M113" s="29" t="s">
        <v>804</v>
      </c>
      <c r="N113" s="29" t="s">
        <v>7</v>
      </c>
      <c r="O113" s="17">
        <f>IF(N113="5",I113,0)</f>
        <v>0</v>
      </c>
      <c r="Z113" s="17">
        <f>IF(AD113=0,J113,0)</f>
        <v>0</v>
      </c>
      <c r="AA113" s="17">
        <f>IF(AD113=15,J113,0)</f>
        <v>0</v>
      </c>
      <c r="AB113" s="17">
        <f>IF(AD113=21,J113,0)</f>
        <v>0</v>
      </c>
      <c r="AD113" s="33">
        <v>21</v>
      </c>
      <c r="AE113" s="33">
        <f>G113*0</f>
        <v>0</v>
      </c>
      <c r="AF113" s="33">
        <f>G113*(1-0)</f>
        <v>0</v>
      </c>
      <c r="AM113" s="33">
        <f>F113*AE113</f>
        <v>0</v>
      </c>
      <c r="AN113" s="33">
        <f>F113*AF113</f>
        <v>0</v>
      </c>
      <c r="AO113" s="34" t="s">
        <v>823</v>
      </c>
      <c r="AP113" s="34" t="s">
        <v>855</v>
      </c>
      <c r="AQ113" s="26" t="s">
        <v>866</v>
      </c>
    </row>
    <row r="114" spans="4:6" ht="12.75">
      <c r="D114" s="13" t="s">
        <v>506</v>
      </c>
      <c r="F114" s="18">
        <v>0</v>
      </c>
    </row>
    <row r="115" spans="4:6" ht="12.75">
      <c r="D115" s="13" t="s">
        <v>507</v>
      </c>
      <c r="F115" s="18">
        <v>715.94</v>
      </c>
    </row>
    <row r="116" spans="1:43" ht="12.75">
      <c r="A116" s="4" t="s">
        <v>39</v>
      </c>
      <c r="B116" s="4" t="s">
        <v>200</v>
      </c>
      <c r="C116" s="4" t="s">
        <v>233</v>
      </c>
      <c r="D116" s="4" t="s">
        <v>508</v>
      </c>
      <c r="E116" s="4" t="s">
        <v>778</v>
      </c>
      <c r="F116" s="17">
        <v>357.97</v>
      </c>
      <c r="G116" s="17"/>
      <c r="H116" s="17">
        <f>F116*AE116</f>
        <v>0</v>
      </c>
      <c r="I116" s="17">
        <f>J116-H116</f>
        <v>0</v>
      </c>
      <c r="J116" s="17">
        <f>F116*G116</f>
        <v>0</v>
      </c>
      <c r="K116" s="17">
        <v>0</v>
      </c>
      <c r="L116" s="17">
        <f>F116*K116</f>
        <v>0</v>
      </c>
      <c r="M116" s="29" t="s">
        <v>804</v>
      </c>
      <c r="N116" s="29" t="s">
        <v>7</v>
      </c>
      <c r="O116" s="17">
        <f>IF(N116="5",I116,0)</f>
        <v>0</v>
      </c>
      <c r="Z116" s="17">
        <f>IF(AD116=0,J116,0)</f>
        <v>0</v>
      </c>
      <c r="AA116" s="17">
        <f>IF(AD116=15,J116,0)</f>
        <v>0</v>
      </c>
      <c r="AB116" s="17">
        <f>IF(AD116=21,J116,0)</f>
        <v>0</v>
      </c>
      <c r="AD116" s="33">
        <v>21</v>
      </c>
      <c r="AE116" s="33">
        <f>G116*0</f>
        <v>0</v>
      </c>
      <c r="AF116" s="33">
        <f>G116*(1-0)</f>
        <v>0</v>
      </c>
      <c r="AM116" s="33">
        <f>F116*AE116</f>
        <v>0</v>
      </c>
      <c r="AN116" s="33">
        <f>F116*AF116</f>
        <v>0</v>
      </c>
      <c r="AO116" s="34" t="s">
        <v>823</v>
      </c>
      <c r="AP116" s="34" t="s">
        <v>855</v>
      </c>
      <c r="AQ116" s="26" t="s">
        <v>866</v>
      </c>
    </row>
    <row r="117" spans="4:6" ht="12.75">
      <c r="D117" s="13" t="s">
        <v>509</v>
      </c>
      <c r="F117" s="18">
        <v>357.97</v>
      </c>
    </row>
    <row r="118" spans="1:37" ht="12.75">
      <c r="A118" s="3"/>
      <c r="B118" s="11" t="s">
        <v>200</v>
      </c>
      <c r="C118" s="11" t="s">
        <v>23</v>
      </c>
      <c r="D118" s="79" t="s">
        <v>510</v>
      </c>
      <c r="E118" s="80"/>
      <c r="F118" s="80"/>
      <c r="G118" s="80"/>
      <c r="H118" s="35">
        <f>SUM(H119:H130)</f>
        <v>0</v>
      </c>
      <c r="I118" s="35">
        <f>SUM(I119:I130)</f>
        <v>0</v>
      </c>
      <c r="J118" s="35">
        <f>H118+I118</f>
        <v>0</v>
      </c>
      <c r="K118" s="26"/>
      <c r="L118" s="35">
        <f>SUM(L119:L130)</f>
        <v>104.54</v>
      </c>
      <c r="M118" s="26"/>
      <c r="P118" s="35">
        <f>IF(Q118="PR",J118,SUM(O119:O130))</f>
        <v>0</v>
      </c>
      <c r="Q118" s="26" t="s">
        <v>808</v>
      </c>
      <c r="R118" s="35">
        <f>IF(Q118="HS",H118,0)</f>
        <v>0</v>
      </c>
      <c r="S118" s="35">
        <f>IF(Q118="HS",I118-P118,0)</f>
        <v>0</v>
      </c>
      <c r="T118" s="35">
        <f>IF(Q118="PS",H118,0)</f>
        <v>0</v>
      </c>
      <c r="U118" s="35">
        <f>IF(Q118="PS",I118-P118,0)</f>
        <v>0</v>
      </c>
      <c r="V118" s="35">
        <f>IF(Q118="MP",H118,0)</f>
        <v>0</v>
      </c>
      <c r="W118" s="35">
        <f>IF(Q118="MP",I118-P118,0)</f>
        <v>0</v>
      </c>
      <c r="X118" s="35">
        <f>IF(Q118="OM",H118,0)</f>
        <v>0</v>
      </c>
      <c r="Y118" s="26" t="s">
        <v>200</v>
      </c>
      <c r="AI118" s="35">
        <f>SUM(Z119:Z130)</f>
        <v>0</v>
      </c>
      <c r="AJ118" s="35">
        <f>SUM(AA119:AA130)</f>
        <v>0</v>
      </c>
      <c r="AK118" s="35">
        <f>SUM(AB119:AB130)</f>
        <v>0</v>
      </c>
    </row>
    <row r="119" spans="1:43" ht="12.75">
      <c r="A119" s="4" t="s">
        <v>40</v>
      </c>
      <c r="B119" s="4" t="s">
        <v>200</v>
      </c>
      <c r="C119" s="4" t="s">
        <v>234</v>
      </c>
      <c r="D119" s="4" t="s">
        <v>511</v>
      </c>
      <c r="E119" s="4" t="s">
        <v>778</v>
      </c>
      <c r="F119" s="17">
        <v>491.88</v>
      </c>
      <c r="G119" s="17"/>
      <c r="H119" s="17">
        <f>F119*AE119</f>
        <v>0</v>
      </c>
      <c r="I119" s="17">
        <f>J119-H119</f>
        <v>0</v>
      </c>
      <c r="J119" s="17">
        <f>F119*G119</f>
        <v>0</v>
      </c>
      <c r="K119" s="17">
        <v>0</v>
      </c>
      <c r="L119" s="17">
        <f>F119*K119</f>
        <v>0</v>
      </c>
      <c r="M119" s="29" t="s">
        <v>804</v>
      </c>
      <c r="N119" s="29" t="s">
        <v>7</v>
      </c>
      <c r="O119" s="17">
        <f>IF(N119="5",I119,0)</f>
        <v>0</v>
      </c>
      <c r="Z119" s="17">
        <f>IF(AD119=0,J119,0)</f>
        <v>0</v>
      </c>
      <c r="AA119" s="17">
        <f>IF(AD119=15,J119,0)</f>
        <v>0</v>
      </c>
      <c r="AB119" s="17">
        <f>IF(AD119=21,J119,0)</f>
        <v>0</v>
      </c>
      <c r="AD119" s="33">
        <v>21</v>
      </c>
      <c r="AE119" s="33">
        <f>G119*0</f>
        <v>0</v>
      </c>
      <c r="AF119" s="33">
        <f>G119*(1-0)</f>
        <v>0</v>
      </c>
      <c r="AM119" s="33">
        <f>F119*AE119</f>
        <v>0</v>
      </c>
      <c r="AN119" s="33">
        <f>F119*AF119</f>
        <v>0</v>
      </c>
      <c r="AO119" s="34" t="s">
        <v>824</v>
      </c>
      <c r="AP119" s="34" t="s">
        <v>855</v>
      </c>
      <c r="AQ119" s="26" t="s">
        <v>866</v>
      </c>
    </row>
    <row r="120" spans="4:6" ht="12.75">
      <c r="D120" s="13" t="s">
        <v>512</v>
      </c>
      <c r="F120" s="18">
        <v>491.88</v>
      </c>
    </row>
    <row r="121" spans="1:43" ht="12.75">
      <c r="A121" s="4" t="s">
        <v>41</v>
      </c>
      <c r="B121" s="4" t="s">
        <v>200</v>
      </c>
      <c r="C121" s="4" t="s">
        <v>235</v>
      </c>
      <c r="D121" s="4" t="s">
        <v>513</v>
      </c>
      <c r="E121" s="4" t="s">
        <v>778</v>
      </c>
      <c r="F121" s="17">
        <v>357.97</v>
      </c>
      <c r="G121" s="17"/>
      <c r="H121" s="17">
        <f>F121*AE121</f>
        <v>0</v>
      </c>
      <c r="I121" s="17">
        <f>J121-H121</f>
        <v>0</v>
      </c>
      <c r="J121" s="17">
        <f>F121*G121</f>
        <v>0</v>
      </c>
      <c r="K121" s="17">
        <v>0</v>
      </c>
      <c r="L121" s="17">
        <f>F121*K121</f>
        <v>0</v>
      </c>
      <c r="M121" s="29" t="s">
        <v>804</v>
      </c>
      <c r="N121" s="29" t="s">
        <v>7</v>
      </c>
      <c r="O121" s="17">
        <f>IF(N121="5",I121,0)</f>
        <v>0</v>
      </c>
      <c r="Z121" s="17">
        <f>IF(AD121=0,J121,0)</f>
        <v>0</v>
      </c>
      <c r="AA121" s="17">
        <f>IF(AD121=15,J121,0)</f>
        <v>0</v>
      </c>
      <c r="AB121" s="17">
        <f>IF(AD121=21,J121,0)</f>
        <v>0</v>
      </c>
      <c r="AD121" s="33">
        <v>21</v>
      </c>
      <c r="AE121" s="33">
        <f>G121*0</f>
        <v>0</v>
      </c>
      <c r="AF121" s="33">
        <f>G121*(1-0)</f>
        <v>0</v>
      </c>
      <c r="AM121" s="33">
        <f>F121*AE121</f>
        <v>0</v>
      </c>
      <c r="AN121" s="33">
        <f>F121*AF121</f>
        <v>0</v>
      </c>
      <c r="AO121" s="34" t="s">
        <v>824</v>
      </c>
      <c r="AP121" s="34" t="s">
        <v>855</v>
      </c>
      <c r="AQ121" s="26" t="s">
        <v>866</v>
      </c>
    </row>
    <row r="122" spans="4:6" ht="12.75">
      <c r="D122" s="13" t="s">
        <v>514</v>
      </c>
      <c r="F122" s="18">
        <v>357.97</v>
      </c>
    </row>
    <row r="123" spans="1:43" ht="12.75">
      <c r="A123" s="4" t="s">
        <v>42</v>
      </c>
      <c r="B123" s="4" t="s">
        <v>200</v>
      </c>
      <c r="C123" s="4" t="s">
        <v>236</v>
      </c>
      <c r="D123" s="4" t="s">
        <v>515</v>
      </c>
      <c r="E123" s="4" t="s">
        <v>778</v>
      </c>
      <c r="F123" s="17">
        <v>62.6</v>
      </c>
      <c r="G123" s="17"/>
      <c r="H123" s="17">
        <f>F123*AE123</f>
        <v>0</v>
      </c>
      <c r="I123" s="17">
        <f>J123-H123</f>
        <v>0</v>
      </c>
      <c r="J123" s="17">
        <f>F123*G123</f>
        <v>0</v>
      </c>
      <c r="K123" s="17">
        <v>0</v>
      </c>
      <c r="L123" s="17">
        <f>F123*K123</f>
        <v>0</v>
      </c>
      <c r="M123" s="29" t="s">
        <v>804</v>
      </c>
      <c r="N123" s="29" t="s">
        <v>7</v>
      </c>
      <c r="O123" s="17">
        <f>IF(N123="5",I123,0)</f>
        <v>0</v>
      </c>
      <c r="Z123" s="17">
        <f>IF(AD123=0,J123,0)</f>
        <v>0</v>
      </c>
      <c r="AA123" s="17">
        <f>IF(AD123=15,J123,0)</f>
        <v>0</v>
      </c>
      <c r="AB123" s="17">
        <f>IF(AD123=21,J123,0)</f>
        <v>0</v>
      </c>
      <c r="AD123" s="33">
        <v>21</v>
      </c>
      <c r="AE123" s="33">
        <f>G123*0</f>
        <v>0</v>
      </c>
      <c r="AF123" s="33">
        <f>G123*(1-0)</f>
        <v>0</v>
      </c>
      <c r="AM123" s="33">
        <f>F123*AE123</f>
        <v>0</v>
      </c>
      <c r="AN123" s="33">
        <f>F123*AF123</f>
        <v>0</v>
      </c>
      <c r="AO123" s="34" t="s">
        <v>824</v>
      </c>
      <c r="AP123" s="34" t="s">
        <v>855</v>
      </c>
      <c r="AQ123" s="26" t="s">
        <v>866</v>
      </c>
    </row>
    <row r="124" spans="4:6" ht="12.75">
      <c r="D124" s="13" t="s">
        <v>516</v>
      </c>
      <c r="F124" s="18">
        <v>40.92</v>
      </c>
    </row>
    <row r="125" spans="4:6" ht="12.75">
      <c r="D125" s="13" t="s">
        <v>517</v>
      </c>
      <c r="F125" s="18">
        <v>0</v>
      </c>
    </row>
    <row r="126" spans="4:6" ht="12.75">
      <c r="D126" s="13" t="s">
        <v>518</v>
      </c>
      <c r="F126" s="18">
        <v>-2.14</v>
      </c>
    </row>
    <row r="127" spans="4:6" ht="12.75">
      <c r="D127" s="13" t="s">
        <v>519</v>
      </c>
      <c r="F127" s="18">
        <v>24.92</v>
      </c>
    </row>
    <row r="128" spans="4:6" ht="12.75">
      <c r="D128" s="13" t="s">
        <v>517</v>
      </c>
      <c r="F128" s="18">
        <v>0</v>
      </c>
    </row>
    <row r="129" spans="4:6" ht="12.75">
      <c r="D129" s="13" t="s">
        <v>520</v>
      </c>
      <c r="F129" s="18">
        <v>-1.1</v>
      </c>
    </row>
    <row r="130" spans="1:43" ht="12.75">
      <c r="A130" s="5" t="s">
        <v>43</v>
      </c>
      <c r="B130" s="5" t="s">
        <v>200</v>
      </c>
      <c r="C130" s="5" t="s">
        <v>237</v>
      </c>
      <c r="D130" s="5" t="s">
        <v>521</v>
      </c>
      <c r="E130" s="5" t="s">
        <v>779</v>
      </c>
      <c r="F130" s="19">
        <v>104.54</v>
      </c>
      <c r="G130" s="19"/>
      <c r="H130" s="19">
        <f>F130*AE130</f>
        <v>0</v>
      </c>
      <c r="I130" s="19">
        <f>J130-H130</f>
        <v>0</v>
      </c>
      <c r="J130" s="19">
        <f>F130*G130</f>
        <v>0</v>
      </c>
      <c r="K130" s="19">
        <v>1</v>
      </c>
      <c r="L130" s="19">
        <f>F130*K130</f>
        <v>104.54</v>
      </c>
      <c r="M130" s="30" t="s">
        <v>804</v>
      </c>
      <c r="N130" s="30" t="s">
        <v>805</v>
      </c>
      <c r="O130" s="19">
        <f>IF(N130="5",I130,0)</f>
        <v>0</v>
      </c>
      <c r="Z130" s="19">
        <f>IF(AD130=0,J130,0)</f>
        <v>0</v>
      </c>
      <c r="AA130" s="19">
        <f>IF(AD130=15,J130,0)</f>
        <v>0</v>
      </c>
      <c r="AB130" s="19">
        <f>IF(AD130=21,J130,0)</f>
        <v>0</v>
      </c>
      <c r="AD130" s="33">
        <v>21</v>
      </c>
      <c r="AE130" s="33">
        <f>G130*1</f>
        <v>0</v>
      </c>
      <c r="AF130" s="33">
        <f>G130*(1-1)</f>
        <v>0</v>
      </c>
      <c r="AM130" s="33">
        <f>F130*AE130</f>
        <v>0</v>
      </c>
      <c r="AN130" s="33">
        <f>F130*AF130</f>
        <v>0</v>
      </c>
      <c r="AO130" s="34" t="s">
        <v>824</v>
      </c>
      <c r="AP130" s="34" t="s">
        <v>855</v>
      </c>
      <c r="AQ130" s="26" t="s">
        <v>866</v>
      </c>
    </row>
    <row r="131" spans="4:6" ht="12.75">
      <c r="D131" s="13" t="s">
        <v>522</v>
      </c>
      <c r="F131" s="18">
        <v>104.54</v>
      </c>
    </row>
    <row r="132" spans="1:37" ht="12.75">
      <c r="A132" s="3"/>
      <c r="B132" s="11" t="s">
        <v>200</v>
      </c>
      <c r="C132" s="11" t="s">
        <v>24</v>
      </c>
      <c r="D132" s="79" t="s">
        <v>523</v>
      </c>
      <c r="E132" s="80"/>
      <c r="F132" s="80"/>
      <c r="G132" s="80"/>
      <c r="H132" s="35">
        <f>SUM(H133:H143)</f>
        <v>0</v>
      </c>
      <c r="I132" s="35">
        <f>SUM(I133:I143)</f>
        <v>0</v>
      </c>
      <c r="J132" s="35">
        <f>H132+I132</f>
        <v>0</v>
      </c>
      <c r="K132" s="26"/>
      <c r="L132" s="35">
        <f>SUM(L133:L143)</f>
        <v>0.09763</v>
      </c>
      <c r="M132" s="26"/>
      <c r="P132" s="35">
        <f>IF(Q132="PR",J132,SUM(O133:O143))</f>
        <v>0</v>
      </c>
      <c r="Q132" s="26" t="s">
        <v>808</v>
      </c>
      <c r="R132" s="35">
        <f>IF(Q132="HS",H132,0)</f>
        <v>0</v>
      </c>
      <c r="S132" s="35">
        <f>IF(Q132="HS",I132-P132,0)</f>
        <v>0</v>
      </c>
      <c r="T132" s="35">
        <f>IF(Q132="PS",H132,0)</f>
        <v>0</v>
      </c>
      <c r="U132" s="35">
        <f>IF(Q132="PS",I132-P132,0)</f>
        <v>0</v>
      </c>
      <c r="V132" s="35">
        <f>IF(Q132="MP",H132,0)</f>
        <v>0</v>
      </c>
      <c r="W132" s="35">
        <f>IF(Q132="MP",I132-P132,0)</f>
        <v>0</v>
      </c>
      <c r="X132" s="35">
        <f>IF(Q132="OM",H132,0)</f>
        <v>0</v>
      </c>
      <c r="Y132" s="26" t="s">
        <v>200</v>
      </c>
      <c r="AI132" s="35">
        <f>SUM(Z133:Z143)</f>
        <v>0</v>
      </c>
      <c r="AJ132" s="35">
        <f>SUM(AA133:AA143)</f>
        <v>0</v>
      </c>
      <c r="AK132" s="35">
        <f>SUM(AB133:AB143)</f>
        <v>0</v>
      </c>
    </row>
    <row r="133" spans="1:43" ht="12.75">
      <c r="A133" s="4" t="s">
        <v>44</v>
      </c>
      <c r="B133" s="4" t="s">
        <v>200</v>
      </c>
      <c r="C133" s="4" t="s">
        <v>238</v>
      </c>
      <c r="D133" s="4" t="s">
        <v>524</v>
      </c>
      <c r="E133" s="4" t="s">
        <v>776</v>
      </c>
      <c r="F133" s="17">
        <v>190.2</v>
      </c>
      <c r="G133" s="17"/>
      <c r="H133" s="17">
        <f>F133*AE133</f>
        <v>0</v>
      </c>
      <c r="I133" s="17">
        <f>J133-H133</f>
        <v>0</v>
      </c>
      <c r="J133" s="17">
        <f>F133*G133</f>
        <v>0</v>
      </c>
      <c r="K133" s="17">
        <v>0</v>
      </c>
      <c r="L133" s="17">
        <f>F133*K133</f>
        <v>0</v>
      </c>
      <c r="M133" s="29" t="s">
        <v>804</v>
      </c>
      <c r="N133" s="29" t="s">
        <v>7</v>
      </c>
      <c r="O133" s="17">
        <f>IF(N133="5",I133,0)</f>
        <v>0</v>
      </c>
      <c r="Z133" s="17">
        <f>IF(AD133=0,J133,0)</f>
        <v>0</v>
      </c>
      <c r="AA133" s="17">
        <f>IF(AD133=15,J133,0)</f>
        <v>0</v>
      </c>
      <c r="AB133" s="17">
        <f>IF(AD133=21,J133,0)</f>
        <v>0</v>
      </c>
      <c r="AD133" s="33">
        <v>21</v>
      </c>
      <c r="AE133" s="33">
        <f>G133*0</f>
        <v>0</v>
      </c>
      <c r="AF133" s="33">
        <f>G133*(1-0)</f>
        <v>0</v>
      </c>
      <c r="AM133" s="33">
        <f>F133*AE133</f>
        <v>0</v>
      </c>
      <c r="AN133" s="33">
        <f>F133*AF133</f>
        <v>0</v>
      </c>
      <c r="AO133" s="34" t="s">
        <v>825</v>
      </c>
      <c r="AP133" s="34" t="s">
        <v>855</v>
      </c>
      <c r="AQ133" s="26" t="s">
        <v>866</v>
      </c>
    </row>
    <row r="134" spans="4:6" ht="12.75">
      <c r="D134" s="13" t="s">
        <v>525</v>
      </c>
      <c r="F134" s="18">
        <v>190.2</v>
      </c>
    </row>
    <row r="135" spans="1:43" ht="12.75">
      <c r="A135" s="4" t="s">
        <v>45</v>
      </c>
      <c r="B135" s="4" t="s">
        <v>200</v>
      </c>
      <c r="C135" s="4" t="s">
        <v>239</v>
      </c>
      <c r="D135" s="4" t="s">
        <v>526</v>
      </c>
      <c r="E135" s="4" t="s">
        <v>776</v>
      </c>
      <c r="F135" s="17">
        <v>295.5</v>
      </c>
      <c r="G135" s="17"/>
      <c r="H135" s="17">
        <f>F135*AE135</f>
        <v>0</v>
      </c>
      <c r="I135" s="17">
        <f>J135-H135</f>
        <v>0</v>
      </c>
      <c r="J135" s="17">
        <f>F135*G135</f>
        <v>0</v>
      </c>
      <c r="K135" s="17">
        <v>0</v>
      </c>
      <c r="L135" s="17">
        <f>F135*K135</f>
        <v>0</v>
      </c>
      <c r="M135" s="29" t="s">
        <v>804</v>
      </c>
      <c r="N135" s="29" t="s">
        <v>7</v>
      </c>
      <c r="O135" s="17">
        <f>IF(N135="5",I135,0)</f>
        <v>0</v>
      </c>
      <c r="Z135" s="17">
        <f>IF(AD135=0,J135,0)</f>
        <v>0</v>
      </c>
      <c r="AA135" s="17">
        <f>IF(AD135=15,J135,0)</f>
        <v>0</v>
      </c>
      <c r="AB135" s="17">
        <f>IF(AD135=21,J135,0)</f>
        <v>0</v>
      </c>
      <c r="AD135" s="33">
        <v>21</v>
      </c>
      <c r="AE135" s="33">
        <f>G135*0.0987012987012987</f>
        <v>0</v>
      </c>
      <c r="AF135" s="33">
        <f>G135*(1-0.0987012987012987)</f>
        <v>0</v>
      </c>
      <c r="AM135" s="33">
        <f>F135*AE135</f>
        <v>0</v>
      </c>
      <c r="AN135" s="33">
        <f>F135*AF135</f>
        <v>0</v>
      </c>
      <c r="AO135" s="34" t="s">
        <v>825</v>
      </c>
      <c r="AP135" s="34" t="s">
        <v>855</v>
      </c>
      <c r="AQ135" s="26" t="s">
        <v>866</v>
      </c>
    </row>
    <row r="136" spans="4:6" ht="12.75">
      <c r="D136" s="13" t="s">
        <v>527</v>
      </c>
      <c r="F136" s="18">
        <v>295.5</v>
      </c>
    </row>
    <row r="137" spans="1:43" ht="12.75">
      <c r="A137" s="4" t="s">
        <v>46</v>
      </c>
      <c r="B137" s="4" t="s">
        <v>200</v>
      </c>
      <c r="C137" s="4" t="s">
        <v>240</v>
      </c>
      <c r="D137" s="4" t="s">
        <v>528</v>
      </c>
      <c r="E137" s="4" t="s">
        <v>776</v>
      </c>
      <c r="F137" s="17">
        <v>295.5</v>
      </c>
      <c r="G137" s="17"/>
      <c r="H137" s="17">
        <f>F137*AE137</f>
        <v>0</v>
      </c>
      <c r="I137" s="17">
        <f>J137-H137</f>
        <v>0</v>
      </c>
      <c r="J137" s="17">
        <f>F137*G137</f>
        <v>0</v>
      </c>
      <c r="K137" s="17">
        <v>0</v>
      </c>
      <c r="L137" s="17">
        <f>F137*K137</f>
        <v>0</v>
      </c>
      <c r="M137" s="29" t="s">
        <v>804</v>
      </c>
      <c r="N137" s="29" t="s">
        <v>7</v>
      </c>
      <c r="O137" s="17">
        <f>IF(N137="5",I137,0)</f>
        <v>0</v>
      </c>
      <c r="Z137" s="17">
        <f>IF(AD137=0,J137,0)</f>
        <v>0</v>
      </c>
      <c r="AA137" s="17">
        <f>IF(AD137=15,J137,0)</f>
        <v>0</v>
      </c>
      <c r="AB137" s="17">
        <f>IF(AD137=21,J137,0)</f>
        <v>0</v>
      </c>
      <c r="AD137" s="33">
        <v>21</v>
      </c>
      <c r="AE137" s="33">
        <f>G137*0</f>
        <v>0</v>
      </c>
      <c r="AF137" s="33">
        <f>G137*(1-0)</f>
        <v>0</v>
      </c>
      <c r="AM137" s="33">
        <f>F137*AE137</f>
        <v>0</v>
      </c>
      <c r="AN137" s="33">
        <f>F137*AF137</f>
        <v>0</v>
      </c>
      <c r="AO137" s="34" t="s">
        <v>825</v>
      </c>
      <c r="AP137" s="34" t="s">
        <v>855</v>
      </c>
      <c r="AQ137" s="26" t="s">
        <v>866</v>
      </c>
    </row>
    <row r="138" spans="1:43" ht="12.75">
      <c r="A138" s="4" t="s">
        <v>47</v>
      </c>
      <c r="B138" s="4" t="s">
        <v>200</v>
      </c>
      <c r="C138" s="4" t="s">
        <v>241</v>
      </c>
      <c r="D138" s="4" t="s">
        <v>529</v>
      </c>
      <c r="E138" s="4" t="s">
        <v>776</v>
      </c>
      <c r="F138" s="17">
        <v>295.5</v>
      </c>
      <c r="G138" s="17"/>
      <c r="H138" s="17">
        <f>F138*AE138</f>
        <v>0</v>
      </c>
      <c r="I138" s="17">
        <f>J138-H138</f>
        <v>0</v>
      </c>
      <c r="J138" s="17">
        <f>F138*G138</f>
        <v>0</v>
      </c>
      <c r="K138" s="17">
        <v>0</v>
      </c>
      <c r="L138" s="17">
        <f>F138*K138</f>
        <v>0</v>
      </c>
      <c r="M138" s="29" t="s">
        <v>804</v>
      </c>
      <c r="N138" s="29" t="s">
        <v>7</v>
      </c>
      <c r="O138" s="17">
        <f>IF(N138="5",I138,0)</f>
        <v>0</v>
      </c>
      <c r="Z138" s="17">
        <f>IF(AD138=0,J138,0)</f>
        <v>0</v>
      </c>
      <c r="AA138" s="17">
        <f>IF(AD138=15,J138,0)</f>
        <v>0</v>
      </c>
      <c r="AB138" s="17">
        <f>IF(AD138=21,J138,0)</f>
        <v>0</v>
      </c>
      <c r="AD138" s="33">
        <v>21</v>
      </c>
      <c r="AE138" s="33">
        <f>G138*0</f>
        <v>0</v>
      </c>
      <c r="AF138" s="33">
        <f>G138*(1-0)</f>
        <v>0</v>
      </c>
      <c r="AM138" s="33">
        <f>F138*AE138</f>
        <v>0</v>
      </c>
      <c r="AN138" s="33">
        <f>F138*AF138</f>
        <v>0</v>
      </c>
      <c r="AO138" s="34" t="s">
        <v>825</v>
      </c>
      <c r="AP138" s="34" t="s">
        <v>855</v>
      </c>
      <c r="AQ138" s="26" t="s">
        <v>866</v>
      </c>
    </row>
    <row r="139" spans="1:43" ht="12.75">
      <c r="A139" s="5" t="s">
        <v>48</v>
      </c>
      <c r="B139" s="5" t="s">
        <v>200</v>
      </c>
      <c r="C139" s="5" t="s">
        <v>242</v>
      </c>
      <c r="D139" s="5" t="s">
        <v>530</v>
      </c>
      <c r="E139" s="5" t="s">
        <v>780</v>
      </c>
      <c r="F139" s="19">
        <v>7.39</v>
      </c>
      <c r="G139" s="19"/>
      <c r="H139" s="19">
        <f>F139*AE139</f>
        <v>0</v>
      </c>
      <c r="I139" s="19">
        <f>J139-H139</f>
        <v>0</v>
      </c>
      <c r="J139" s="19">
        <f>F139*G139</f>
        <v>0</v>
      </c>
      <c r="K139" s="19">
        <v>0.001</v>
      </c>
      <c r="L139" s="19">
        <f>F139*K139</f>
        <v>0.00739</v>
      </c>
      <c r="M139" s="30" t="s">
        <v>804</v>
      </c>
      <c r="N139" s="30" t="s">
        <v>805</v>
      </c>
      <c r="O139" s="19">
        <f>IF(N139="5",I139,0)</f>
        <v>0</v>
      </c>
      <c r="Z139" s="19">
        <f>IF(AD139=0,J139,0)</f>
        <v>0</v>
      </c>
      <c r="AA139" s="19">
        <f>IF(AD139=15,J139,0)</f>
        <v>0</v>
      </c>
      <c r="AB139" s="19">
        <f>IF(AD139=21,J139,0)</f>
        <v>0</v>
      </c>
      <c r="AD139" s="33">
        <v>21</v>
      </c>
      <c r="AE139" s="33">
        <f>G139*1</f>
        <v>0</v>
      </c>
      <c r="AF139" s="33">
        <f>G139*(1-1)</f>
        <v>0</v>
      </c>
      <c r="AM139" s="33">
        <f>F139*AE139</f>
        <v>0</v>
      </c>
      <c r="AN139" s="33">
        <f>F139*AF139</f>
        <v>0</v>
      </c>
      <c r="AO139" s="34" t="s">
        <v>825</v>
      </c>
      <c r="AP139" s="34" t="s">
        <v>855</v>
      </c>
      <c r="AQ139" s="26" t="s">
        <v>866</v>
      </c>
    </row>
    <row r="140" spans="4:6" ht="12.75">
      <c r="D140" s="13" t="s">
        <v>531</v>
      </c>
      <c r="F140" s="18">
        <v>7.39</v>
      </c>
    </row>
    <row r="141" spans="1:43" ht="12.75">
      <c r="A141" s="4" t="s">
        <v>49</v>
      </c>
      <c r="B141" s="4" t="s">
        <v>200</v>
      </c>
      <c r="C141" s="4" t="s">
        <v>243</v>
      </c>
      <c r="D141" s="4" t="s">
        <v>532</v>
      </c>
      <c r="E141" s="4" t="s">
        <v>776</v>
      </c>
      <c r="F141" s="17">
        <v>9.6</v>
      </c>
      <c r="G141" s="17"/>
      <c r="H141" s="17">
        <f>F141*AE141</f>
        <v>0</v>
      </c>
      <c r="I141" s="17">
        <f>J141-H141</f>
        <v>0</v>
      </c>
      <c r="J141" s="17">
        <f>F141*G141</f>
        <v>0</v>
      </c>
      <c r="K141" s="17">
        <v>0.0094</v>
      </c>
      <c r="L141" s="17">
        <f>F141*K141</f>
        <v>0.09024</v>
      </c>
      <c r="M141" s="29" t="s">
        <v>804</v>
      </c>
      <c r="N141" s="29" t="s">
        <v>7</v>
      </c>
      <c r="O141" s="17">
        <f>IF(N141="5",I141,0)</f>
        <v>0</v>
      </c>
      <c r="Z141" s="17">
        <f>IF(AD141=0,J141,0)</f>
        <v>0</v>
      </c>
      <c r="AA141" s="17">
        <f>IF(AD141=15,J141,0)</f>
        <v>0</v>
      </c>
      <c r="AB141" s="17">
        <f>IF(AD141=21,J141,0)</f>
        <v>0</v>
      </c>
      <c r="AD141" s="33">
        <v>21</v>
      </c>
      <c r="AE141" s="33">
        <f>G141*0.277414054276105</f>
        <v>0</v>
      </c>
      <c r="AF141" s="33">
        <f>G141*(1-0.277414054276105)</f>
        <v>0</v>
      </c>
      <c r="AM141" s="33">
        <f>F141*AE141</f>
        <v>0</v>
      </c>
      <c r="AN141" s="33">
        <f>F141*AF141</f>
        <v>0</v>
      </c>
      <c r="AO141" s="34" t="s">
        <v>825</v>
      </c>
      <c r="AP141" s="34" t="s">
        <v>855</v>
      </c>
      <c r="AQ141" s="26" t="s">
        <v>866</v>
      </c>
    </row>
    <row r="142" spans="4:6" ht="12.75">
      <c r="D142" s="13" t="s">
        <v>533</v>
      </c>
      <c r="F142" s="18">
        <v>9.6</v>
      </c>
    </row>
    <row r="143" spans="1:43" ht="12.75">
      <c r="A143" s="4" t="s">
        <v>50</v>
      </c>
      <c r="B143" s="4" t="s">
        <v>200</v>
      </c>
      <c r="C143" s="4" t="s">
        <v>244</v>
      </c>
      <c r="D143" s="4" t="s">
        <v>534</v>
      </c>
      <c r="E143" s="4" t="s">
        <v>776</v>
      </c>
      <c r="F143" s="17">
        <v>9.6</v>
      </c>
      <c r="G143" s="17"/>
      <c r="H143" s="17">
        <f>F143*AE143</f>
        <v>0</v>
      </c>
      <c r="I143" s="17">
        <f>J143-H143</f>
        <v>0</v>
      </c>
      <c r="J143" s="17">
        <f>F143*G143</f>
        <v>0</v>
      </c>
      <c r="K143" s="17">
        <v>0</v>
      </c>
      <c r="L143" s="17">
        <f>F143*K143</f>
        <v>0</v>
      </c>
      <c r="M143" s="29" t="s">
        <v>804</v>
      </c>
      <c r="N143" s="29" t="s">
        <v>7</v>
      </c>
      <c r="O143" s="17">
        <f>IF(N143="5",I143,0)</f>
        <v>0</v>
      </c>
      <c r="Z143" s="17">
        <f>IF(AD143=0,J143,0)</f>
        <v>0</v>
      </c>
      <c r="AA143" s="17">
        <f>IF(AD143=15,J143,0)</f>
        <v>0</v>
      </c>
      <c r="AB143" s="17">
        <f>IF(AD143=21,J143,0)</f>
        <v>0</v>
      </c>
      <c r="AD143" s="33">
        <v>21</v>
      </c>
      <c r="AE143" s="33">
        <f>G143*0</f>
        <v>0</v>
      </c>
      <c r="AF143" s="33">
        <f>G143*(1-0)</f>
        <v>0</v>
      </c>
      <c r="AM143" s="33">
        <f>F143*AE143</f>
        <v>0</v>
      </c>
      <c r="AN143" s="33">
        <f>F143*AF143</f>
        <v>0</v>
      </c>
      <c r="AO143" s="34" t="s">
        <v>825</v>
      </c>
      <c r="AP143" s="34" t="s">
        <v>855</v>
      </c>
      <c r="AQ143" s="26" t="s">
        <v>866</v>
      </c>
    </row>
    <row r="144" spans="1:37" ht="12.75">
      <c r="A144" s="3"/>
      <c r="B144" s="11" t="s">
        <v>200</v>
      </c>
      <c r="C144" s="11" t="s">
        <v>38</v>
      </c>
      <c r="D144" s="79" t="s">
        <v>535</v>
      </c>
      <c r="E144" s="80"/>
      <c r="F144" s="80"/>
      <c r="G144" s="80"/>
      <c r="H144" s="35">
        <f>SUM(H145:H151)</f>
        <v>0</v>
      </c>
      <c r="I144" s="35">
        <f>SUM(I145:I151)</f>
        <v>0</v>
      </c>
      <c r="J144" s="35">
        <f>H144+I144</f>
        <v>0</v>
      </c>
      <c r="K144" s="26"/>
      <c r="L144" s="35">
        <f>SUM(L145:L151)</f>
        <v>12.3015</v>
      </c>
      <c r="M144" s="26"/>
      <c r="P144" s="35">
        <f>IF(Q144="PR",J144,SUM(O145:O151))</f>
        <v>0</v>
      </c>
      <c r="Q144" s="26" t="s">
        <v>808</v>
      </c>
      <c r="R144" s="35">
        <f>IF(Q144="HS",H144,0)</f>
        <v>0</v>
      </c>
      <c r="S144" s="35">
        <f>IF(Q144="HS",I144-P144,0)</f>
        <v>0</v>
      </c>
      <c r="T144" s="35">
        <f>IF(Q144="PS",H144,0)</f>
        <v>0</v>
      </c>
      <c r="U144" s="35">
        <f>IF(Q144="PS",I144-P144,0)</f>
        <v>0</v>
      </c>
      <c r="V144" s="35">
        <f>IF(Q144="MP",H144,0)</f>
        <v>0</v>
      </c>
      <c r="W144" s="35">
        <f>IF(Q144="MP",I144-P144,0)</f>
        <v>0</v>
      </c>
      <c r="X144" s="35">
        <f>IF(Q144="OM",H144,0)</f>
        <v>0</v>
      </c>
      <c r="Y144" s="26" t="s">
        <v>200</v>
      </c>
      <c r="AI144" s="35">
        <f>SUM(Z145:Z151)</f>
        <v>0</v>
      </c>
      <c r="AJ144" s="35">
        <f>SUM(AA145:AA151)</f>
        <v>0</v>
      </c>
      <c r="AK144" s="35">
        <f>SUM(AB145:AB151)</f>
        <v>0</v>
      </c>
    </row>
    <row r="145" spans="1:43" ht="12.75">
      <c r="A145" s="4" t="s">
        <v>51</v>
      </c>
      <c r="B145" s="4" t="s">
        <v>200</v>
      </c>
      <c r="C145" s="4" t="s">
        <v>245</v>
      </c>
      <c r="D145" s="4" t="s">
        <v>536</v>
      </c>
      <c r="E145" s="4" t="s">
        <v>778</v>
      </c>
      <c r="F145" s="17">
        <v>5</v>
      </c>
      <c r="G145" s="17"/>
      <c r="H145" s="17">
        <f>F145*AE145</f>
        <v>0</v>
      </c>
      <c r="I145" s="17">
        <f>J145-H145</f>
        <v>0</v>
      </c>
      <c r="J145" s="17">
        <f>F145*G145</f>
        <v>0</v>
      </c>
      <c r="K145" s="17">
        <v>0.0823</v>
      </c>
      <c r="L145" s="17">
        <f>F145*K145</f>
        <v>0.4115</v>
      </c>
      <c r="M145" s="29" t="s">
        <v>804</v>
      </c>
      <c r="N145" s="29" t="s">
        <v>7</v>
      </c>
      <c r="O145" s="17">
        <f>IF(N145="5",I145,0)</f>
        <v>0</v>
      </c>
      <c r="Z145" s="17">
        <f>IF(AD145=0,J145,0)</f>
        <v>0</v>
      </c>
      <c r="AA145" s="17">
        <f>IF(AD145=15,J145,0)</f>
        <v>0</v>
      </c>
      <c r="AB145" s="17">
        <f>IF(AD145=21,J145,0)</f>
        <v>0</v>
      </c>
      <c r="AD145" s="33">
        <v>21</v>
      </c>
      <c r="AE145" s="33">
        <f>G145*0.0867642151345298</f>
        <v>0</v>
      </c>
      <c r="AF145" s="33">
        <f>G145*(1-0.0867642151345298)</f>
        <v>0</v>
      </c>
      <c r="AM145" s="33">
        <f>F145*AE145</f>
        <v>0</v>
      </c>
      <c r="AN145" s="33">
        <f>F145*AF145</f>
        <v>0</v>
      </c>
      <c r="AO145" s="34" t="s">
        <v>826</v>
      </c>
      <c r="AP145" s="34" t="s">
        <v>856</v>
      </c>
      <c r="AQ145" s="26" t="s">
        <v>866</v>
      </c>
    </row>
    <row r="146" spans="4:6" ht="12.75">
      <c r="D146" s="13" t="s">
        <v>537</v>
      </c>
      <c r="F146" s="18">
        <v>0</v>
      </c>
    </row>
    <row r="147" spans="1:43" ht="12.75">
      <c r="A147" s="5" t="s">
        <v>52</v>
      </c>
      <c r="B147" s="5" t="s">
        <v>200</v>
      </c>
      <c r="C147" s="5" t="s">
        <v>246</v>
      </c>
      <c r="D147" s="5" t="s">
        <v>538</v>
      </c>
      <c r="E147" s="5" t="s">
        <v>781</v>
      </c>
      <c r="F147" s="19">
        <v>1</v>
      </c>
      <c r="G147" s="19"/>
      <c r="H147" s="19">
        <f>F147*AE147</f>
        <v>0</v>
      </c>
      <c r="I147" s="19">
        <f>J147-H147</f>
        <v>0</v>
      </c>
      <c r="J147" s="19">
        <f>F147*G147</f>
        <v>0</v>
      </c>
      <c r="K147" s="19">
        <v>5.55</v>
      </c>
      <c r="L147" s="19">
        <f>F147*K147</f>
        <v>5.55</v>
      </c>
      <c r="M147" s="30" t="s">
        <v>804</v>
      </c>
      <c r="N147" s="30" t="s">
        <v>805</v>
      </c>
      <c r="O147" s="19">
        <f>IF(N147="5",I147,0)</f>
        <v>0</v>
      </c>
      <c r="Z147" s="19">
        <f>IF(AD147=0,J147,0)</f>
        <v>0</v>
      </c>
      <c r="AA147" s="19">
        <f>IF(AD147=15,J147,0)</f>
        <v>0</v>
      </c>
      <c r="AB147" s="19">
        <f>IF(AD147=21,J147,0)</f>
        <v>0</v>
      </c>
      <c r="AD147" s="33">
        <v>21</v>
      </c>
      <c r="AE147" s="33">
        <f>G147*1</f>
        <v>0</v>
      </c>
      <c r="AF147" s="33">
        <f>G147*(1-1)</f>
        <v>0</v>
      </c>
      <c r="AM147" s="33">
        <f>F147*AE147</f>
        <v>0</v>
      </c>
      <c r="AN147" s="33">
        <f>F147*AF147</f>
        <v>0</v>
      </c>
      <c r="AO147" s="34" t="s">
        <v>826</v>
      </c>
      <c r="AP147" s="34" t="s">
        <v>856</v>
      </c>
      <c r="AQ147" s="26" t="s">
        <v>866</v>
      </c>
    </row>
    <row r="148" spans="1:43" ht="12.75">
      <c r="A148" s="5" t="s">
        <v>53</v>
      </c>
      <c r="B148" s="5" t="s">
        <v>200</v>
      </c>
      <c r="C148" s="5" t="s">
        <v>247</v>
      </c>
      <c r="D148" s="5" t="s">
        <v>539</v>
      </c>
      <c r="E148" s="5" t="s">
        <v>781</v>
      </c>
      <c r="F148" s="19">
        <v>3</v>
      </c>
      <c r="G148" s="19"/>
      <c r="H148" s="19">
        <f>F148*AE148</f>
        <v>0</v>
      </c>
      <c r="I148" s="19">
        <f>J148-H148</f>
        <v>0</v>
      </c>
      <c r="J148" s="19">
        <f>F148*G148</f>
        <v>0</v>
      </c>
      <c r="K148" s="19">
        <v>1.74</v>
      </c>
      <c r="L148" s="19">
        <f>F148*K148</f>
        <v>5.22</v>
      </c>
      <c r="M148" s="30" t="s">
        <v>804</v>
      </c>
      <c r="N148" s="30" t="s">
        <v>805</v>
      </c>
      <c r="O148" s="19">
        <f>IF(N148="5",I148,0)</f>
        <v>0</v>
      </c>
      <c r="Z148" s="19">
        <f>IF(AD148=0,J148,0)</f>
        <v>0</v>
      </c>
      <c r="AA148" s="19">
        <f>IF(AD148=15,J148,0)</f>
        <v>0</v>
      </c>
      <c r="AB148" s="19">
        <f>IF(AD148=21,J148,0)</f>
        <v>0</v>
      </c>
      <c r="AD148" s="33">
        <v>21</v>
      </c>
      <c r="AE148" s="33">
        <f>G148*1</f>
        <v>0</v>
      </c>
      <c r="AF148" s="33">
        <f>G148*(1-1)</f>
        <v>0</v>
      </c>
      <c r="AM148" s="33">
        <f>F148*AE148</f>
        <v>0</v>
      </c>
      <c r="AN148" s="33">
        <f>F148*AF148</f>
        <v>0</v>
      </c>
      <c r="AO148" s="34" t="s">
        <v>826</v>
      </c>
      <c r="AP148" s="34" t="s">
        <v>856</v>
      </c>
      <c r="AQ148" s="26" t="s">
        <v>866</v>
      </c>
    </row>
    <row r="149" spans="1:43" ht="12.75">
      <c r="A149" s="5" t="s">
        <v>54</v>
      </c>
      <c r="B149" s="5" t="s">
        <v>200</v>
      </c>
      <c r="C149" s="5" t="s">
        <v>248</v>
      </c>
      <c r="D149" s="5" t="s">
        <v>540</v>
      </c>
      <c r="E149" s="5" t="s">
        <v>781</v>
      </c>
      <c r="F149" s="19">
        <v>1</v>
      </c>
      <c r="G149" s="19"/>
      <c r="H149" s="19">
        <f>F149*AE149</f>
        <v>0</v>
      </c>
      <c r="I149" s="19">
        <f>J149-H149</f>
        <v>0</v>
      </c>
      <c r="J149" s="19">
        <f>F149*G149</f>
        <v>0</v>
      </c>
      <c r="K149" s="19">
        <v>1.12</v>
      </c>
      <c r="L149" s="19">
        <f>F149*K149</f>
        <v>1.12</v>
      </c>
      <c r="M149" s="30" t="s">
        <v>804</v>
      </c>
      <c r="N149" s="30" t="s">
        <v>805</v>
      </c>
      <c r="O149" s="19">
        <f>IF(N149="5",I149,0)</f>
        <v>0</v>
      </c>
      <c r="Z149" s="19">
        <f>IF(AD149=0,J149,0)</f>
        <v>0</v>
      </c>
      <c r="AA149" s="19">
        <f>IF(AD149=15,J149,0)</f>
        <v>0</v>
      </c>
      <c r="AB149" s="19">
        <f>IF(AD149=21,J149,0)</f>
        <v>0</v>
      </c>
      <c r="AD149" s="33">
        <v>21</v>
      </c>
      <c r="AE149" s="33">
        <f>G149*1</f>
        <v>0</v>
      </c>
      <c r="AF149" s="33">
        <f>G149*(1-1)</f>
        <v>0</v>
      </c>
      <c r="AM149" s="33">
        <f>F149*AE149</f>
        <v>0</v>
      </c>
      <c r="AN149" s="33">
        <f>F149*AF149</f>
        <v>0</v>
      </c>
      <c r="AO149" s="34" t="s">
        <v>826</v>
      </c>
      <c r="AP149" s="34" t="s">
        <v>856</v>
      </c>
      <c r="AQ149" s="26" t="s">
        <v>866</v>
      </c>
    </row>
    <row r="150" spans="4:6" ht="12.75">
      <c r="D150" s="13" t="s">
        <v>541</v>
      </c>
      <c r="F150" s="18">
        <v>0</v>
      </c>
    </row>
    <row r="151" spans="1:43" ht="12.75">
      <c r="A151" s="5" t="s">
        <v>55</v>
      </c>
      <c r="B151" s="5" t="s">
        <v>200</v>
      </c>
      <c r="C151" s="5" t="s">
        <v>249</v>
      </c>
      <c r="D151" s="5" t="s">
        <v>542</v>
      </c>
      <c r="E151" s="5" t="s">
        <v>781</v>
      </c>
      <c r="F151" s="19">
        <v>4</v>
      </c>
      <c r="G151" s="19"/>
      <c r="H151" s="19">
        <f>F151*AE151</f>
        <v>0</v>
      </c>
      <c r="I151" s="19">
        <f>J151-H151</f>
        <v>0</v>
      </c>
      <c r="J151" s="19">
        <f>F151*G151</f>
        <v>0</v>
      </c>
      <c r="K151" s="19">
        <v>0</v>
      </c>
      <c r="L151" s="19">
        <f>F151*K151</f>
        <v>0</v>
      </c>
      <c r="M151" s="30"/>
      <c r="N151" s="30" t="s">
        <v>805</v>
      </c>
      <c r="O151" s="19">
        <f>IF(N151="5",I151,0)</f>
        <v>0</v>
      </c>
      <c r="Z151" s="19">
        <f>IF(AD151=0,J151,0)</f>
        <v>0</v>
      </c>
      <c r="AA151" s="19">
        <f>IF(AD151=15,J151,0)</f>
        <v>0</v>
      </c>
      <c r="AB151" s="19">
        <f>IF(AD151=21,J151,0)</f>
        <v>0</v>
      </c>
      <c r="AD151" s="33">
        <v>21</v>
      </c>
      <c r="AE151" s="33">
        <f>G151*1</f>
        <v>0</v>
      </c>
      <c r="AF151" s="33">
        <f>G151*(1-1)</f>
        <v>0</v>
      </c>
      <c r="AM151" s="33">
        <f>F151*AE151</f>
        <v>0</v>
      </c>
      <c r="AN151" s="33">
        <f>F151*AF151</f>
        <v>0</v>
      </c>
      <c r="AO151" s="34" t="s">
        <v>826</v>
      </c>
      <c r="AP151" s="34" t="s">
        <v>856</v>
      </c>
      <c r="AQ151" s="26" t="s">
        <v>866</v>
      </c>
    </row>
    <row r="152" spans="1:37" ht="12.75">
      <c r="A152" s="3"/>
      <c r="B152" s="11" t="s">
        <v>200</v>
      </c>
      <c r="C152" s="11" t="s">
        <v>39</v>
      </c>
      <c r="D152" s="79" t="s">
        <v>543</v>
      </c>
      <c r="E152" s="80"/>
      <c r="F152" s="80"/>
      <c r="G152" s="80"/>
      <c r="H152" s="35">
        <f>SUM(H153:H155)</f>
        <v>0</v>
      </c>
      <c r="I152" s="35">
        <f>SUM(I153:I155)</f>
        <v>0</v>
      </c>
      <c r="J152" s="35">
        <f>H152+I152</f>
        <v>0</v>
      </c>
      <c r="K152" s="26"/>
      <c r="L152" s="35">
        <f>SUM(L153:L155)</f>
        <v>0.08154</v>
      </c>
      <c r="M152" s="26"/>
      <c r="P152" s="35">
        <f>IF(Q152="PR",J152,SUM(O153:O155))</f>
        <v>0</v>
      </c>
      <c r="Q152" s="26" t="s">
        <v>808</v>
      </c>
      <c r="R152" s="35">
        <f>IF(Q152="HS",H152,0)</f>
        <v>0</v>
      </c>
      <c r="S152" s="35">
        <f>IF(Q152="HS",I152-P152,0)</f>
        <v>0</v>
      </c>
      <c r="T152" s="35">
        <f>IF(Q152="PS",H152,0)</f>
        <v>0</v>
      </c>
      <c r="U152" s="35">
        <f>IF(Q152="PS",I152-P152,0)</f>
        <v>0</v>
      </c>
      <c r="V152" s="35">
        <f>IF(Q152="MP",H152,0)</f>
        <v>0</v>
      </c>
      <c r="W152" s="35">
        <f>IF(Q152="MP",I152-P152,0)</f>
        <v>0</v>
      </c>
      <c r="X152" s="35">
        <f>IF(Q152="OM",H152,0)</f>
        <v>0</v>
      </c>
      <c r="Y152" s="26" t="s">
        <v>200</v>
      </c>
      <c r="AI152" s="35">
        <f>SUM(Z153:Z155)</f>
        <v>0</v>
      </c>
      <c r="AJ152" s="35">
        <f>SUM(AA153:AA155)</f>
        <v>0</v>
      </c>
      <c r="AK152" s="35">
        <f>SUM(AB153:AB155)</f>
        <v>0</v>
      </c>
    </row>
    <row r="153" spans="1:43" ht="12.75">
      <c r="A153" s="4" t="s">
        <v>56</v>
      </c>
      <c r="B153" s="4" t="s">
        <v>200</v>
      </c>
      <c r="C153" s="4" t="s">
        <v>250</v>
      </c>
      <c r="D153" s="4" t="s">
        <v>544</v>
      </c>
      <c r="E153" s="4" t="s">
        <v>781</v>
      </c>
      <c r="F153" s="17">
        <v>1</v>
      </c>
      <c r="G153" s="17"/>
      <c r="H153" s="17">
        <f>F153*AE153</f>
        <v>0</v>
      </c>
      <c r="I153" s="17">
        <f>J153-H153</f>
        <v>0</v>
      </c>
      <c r="J153" s="17">
        <f>F153*G153</f>
        <v>0</v>
      </c>
      <c r="K153" s="17">
        <v>0.04077</v>
      </c>
      <c r="L153" s="17">
        <f>F153*K153</f>
        <v>0.04077</v>
      </c>
      <c r="M153" s="29" t="s">
        <v>804</v>
      </c>
      <c r="N153" s="29" t="s">
        <v>7</v>
      </c>
      <c r="O153" s="17">
        <f>IF(N153="5",I153,0)</f>
        <v>0</v>
      </c>
      <c r="Z153" s="17">
        <f>IF(AD153=0,J153,0)</f>
        <v>0</v>
      </c>
      <c r="AA153" s="17">
        <f>IF(AD153=15,J153,0)</f>
        <v>0</v>
      </c>
      <c r="AB153" s="17">
        <f>IF(AD153=21,J153,0)</f>
        <v>0</v>
      </c>
      <c r="AD153" s="33">
        <v>21</v>
      </c>
      <c r="AE153" s="33">
        <f>G153*0.0757641509433962</f>
        <v>0</v>
      </c>
      <c r="AF153" s="33">
        <f>G153*(1-0.0757641509433962)</f>
        <v>0</v>
      </c>
      <c r="AM153" s="33">
        <f>F153*AE153</f>
        <v>0</v>
      </c>
      <c r="AN153" s="33">
        <f>F153*AF153</f>
        <v>0</v>
      </c>
      <c r="AO153" s="34" t="s">
        <v>827</v>
      </c>
      <c r="AP153" s="34" t="s">
        <v>856</v>
      </c>
      <c r="AQ153" s="26" t="s">
        <v>866</v>
      </c>
    </row>
    <row r="154" spans="4:6" ht="12.75">
      <c r="D154" s="13" t="s">
        <v>545</v>
      </c>
      <c r="F154" s="18">
        <v>0</v>
      </c>
    </row>
    <row r="155" spans="1:43" ht="12.75">
      <c r="A155" s="4" t="s">
        <v>57</v>
      </c>
      <c r="B155" s="4" t="s">
        <v>200</v>
      </c>
      <c r="C155" s="4" t="s">
        <v>251</v>
      </c>
      <c r="D155" s="4" t="s">
        <v>546</v>
      </c>
      <c r="E155" s="4" t="s">
        <v>781</v>
      </c>
      <c r="F155" s="17">
        <v>1</v>
      </c>
      <c r="G155" s="17"/>
      <c r="H155" s="17">
        <f>F155*AE155</f>
        <v>0</v>
      </c>
      <c r="I155" s="17">
        <f>J155-H155</f>
        <v>0</v>
      </c>
      <c r="J155" s="17">
        <f>F155*G155</f>
        <v>0</v>
      </c>
      <c r="K155" s="17">
        <v>0.04077</v>
      </c>
      <c r="L155" s="17">
        <f>F155*K155</f>
        <v>0.04077</v>
      </c>
      <c r="M155" s="29" t="s">
        <v>804</v>
      </c>
      <c r="N155" s="29" t="s">
        <v>7</v>
      </c>
      <c r="O155" s="17">
        <f>IF(N155="5",I155,0)</f>
        <v>0</v>
      </c>
      <c r="Z155" s="17">
        <f>IF(AD155=0,J155,0)</f>
        <v>0</v>
      </c>
      <c r="AA155" s="17">
        <f>IF(AD155=15,J155,0)</f>
        <v>0</v>
      </c>
      <c r="AB155" s="17">
        <f>IF(AD155=21,J155,0)</f>
        <v>0</v>
      </c>
      <c r="AD155" s="33">
        <v>21</v>
      </c>
      <c r="AE155" s="33">
        <f>G155*0.0757666666666667</f>
        <v>0</v>
      </c>
      <c r="AF155" s="33">
        <f>G155*(1-0.0757666666666667)</f>
        <v>0</v>
      </c>
      <c r="AM155" s="33">
        <f>F155*AE155</f>
        <v>0</v>
      </c>
      <c r="AN155" s="33">
        <f>F155*AF155</f>
        <v>0</v>
      </c>
      <c r="AO155" s="34" t="s">
        <v>827</v>
      </c>
      <c r="AP155" s="34" t="s">
        <v>856</v>
      </c>
      <c r="AQ155" s="26" t="s">
        <v>866</v>
      </c>
    </row>
    <row r="156" spans="4:6" ht="12.75">
      <c r="D156" s="13" t="s">
        <v>547</v>
      </c>
      <c r="F156" s="18">
        <v>0</v>
      </c>
    </row>
    <row r="157" spans="1:37" ht="12.75">
      <c r="A157" s="3"/>
      <c r="B157" s="11" t="s">
        <v>200</v>
      </c>
      <c r="C157" s="11" t="s">
        <v>44</v>
      </c>
      <c r="D157" s="79" t="s">
        <v>548</v>
      </c>
      <c r="E157" s="80"/>
      <c r="F157" s="80"/>
      <c r="G157" s="80"/>
      <c r="H157" s="35">
        <f>SUM(H158:H175)</f>
        <v>0</v>
      </c>
      <c r="I157" s="35">
        <f>SUM(I158:I175)</f>
        <v>0</v>
      </c>
      <c r="J157" s="35">
        <f>H157+I157</f>
        <v>0</v>
      </c>
      <c r="K157" s="26"/>
      <c r="L157" s="35">
        <f>SUM(L158:L175)</f>
        <v>33.4348909</v>
      </c>
      <c r="M157" s="26"/>
      <c r="P157" s="35">
        <f>IF(Q157="PR",J157,SUM(O158:O175))</f>
        <v>0</v>
      </c>
      <c r="Q157" s="26" t="s">
        <v>808</v>
      </c>
      <c r="R157" s="35">
        <f>IF(Q157="HS",H157,0)</f>
        <v>0</v>
      </c>
      <c r="S157" s="35">
        <f>IF(Q157="HS",I157-P157,0)</f>
        <v>0</v>
      </c>
      <c r="T157" s="35">
        <f>IF(Q157="PS",H157,0)</f>
        <v>0</v>
      </c>
      <c r="U157" s="35">
        <f>IF(Q157="PS",I157-P157,0)</f>
        <v>0</v>
      </c>
      <c r="V157" s="35">
        <f>IF(Q157="MP",H157,0)</f>
        <v>0</v>
      </c>
      <c r="W157" s="35">
        <f>IF(Q157="MP",I157-P157,0)</f>
        <v>0</v>
      </c>
      <c r="X157" s="35">
        <f>IF(Q157="OM",H157,0)</f>
        <v>0</v>
      </c>
      <c r="Y157" s="26" t="s">
        <v>200</v>
      </c>
      <c r="AI157" s="35">
        <f>SUM(Z158:Z175)</f>
        <v>0</v>
      </c>
      <c r="AJ157" s="35">
        <f>SUM(AA158:AA175)</f>
        <v>0</v>
      </c>
      <c r="AK157" s="35">
        <f>SUM(AB158:AB175)</f>
        <v>0</v>
      </c>
    </row>
    <row r="158" spans="1:43" ht="12.75">
      <c r="A158" s="4" t="s">
        <v>58</v>
      </c>
      <c r="B158" s="4" t="s">
        <v>200</v>
      </c>
      <c r="C158" s="4" t="s">
        <v>252</v>
      </c>
      <c r="D158" s="4" t="s">
        <v>549</v>
      </c>
      <c r="E158" s="4" t="s">
        <v>777</v>
      </c>
      <c r="F158" s="17">
        <v>60</v>
      </c>
      <c r="G158" s="17"/>
      <c r="H158" s="17">
        <f>F158*AE158</f>
        <v>0</v>
      </c>
      <c r="I158" s="17">
        <f>J158-H158</f>
        <v>0</v>
      </c>
      <c r="J158" s="17">
        <f>F158*G158</f>
        <v>0</v>
      </c>
      <c r="K158" s="17">
        <v>0.00033</v>
      </c>
      <c r="L158" s="17">
        <f>F158*K158</f>
        <v>0.019799999999999998</v>
      </c>
      <c r="M158" s="29" t="s">
        <v>804</v>
      </c>
      <c r="N158" s="29" t="s">
        <v>7</v>
      </c>
      <c r="O158" s="17">
        <f>IF(N158="5",I158,0)</f>
        <v>0</v>
      </c>
      <c r="Z158" s="17">
        <f>IF(AD158=0,J158,0)</f>
        <v>0</v>
      </c>
      <c r="AA158" s="17">
        <f>IF(AD158=15,J158,0)</f>
        <v>0</v>
      </c>
      <c r="AB158" s="17">
        <f>IF(AD158=21,J158,0)</f>
        <v>0</v>
      </c>
      <c r="AD158" s="33">
        <v>21</v>
      </c>
      <c r="AE158" s="33">
        <f>G158*0.420283975659229</f>
        <v>0</v>
      </c>
      <c r="AF158" s="33">
        <f>G158*(1-0.420283975659229)</f>
        <v>0</v>
      </c>
      <c r="AM158" s="33">
        <f>F158*AE158</f>
        <v>0</v>
      </c>
      <c r="AN158" s="33">
        <f>F158*AF158</f>
        <v>0</v>
      </c>
      <c r="AO158" s="34" t="s">
        <v>828</v>
      </c>
      <c r="AP158" s="34" t="s">
        <v>856</v>
      </c>
      <c r="AQ158" s="26" t="s">
        <v>866</v>
      </c>
    </row>
    <row r="159" spans="1:43" ht="12.75">
      <c r="A159" s="4" t="s">
        <v>59</v>
      </c>
      <c r="B159" s="4" t="s">
        <v>200</v>
      </c>
      <c r="C159" s="4" t="s">
        <v>253</v>
      </c>
      <c r="D159" s="4" t="s">
        <v>550</v>
      </c>
      <c r="E159" s="4" t="s">
        <v>778</v>
      </c>
      <c r="F159" s="17">
        <v>11.93</v>
      </c>
      <c r="G159" s="17"/>
      <c r="H159" s="17">
        <f>F159*AE159</f>
        <v>0</v>
      </c>
      <c r="I159" s="17">
        <f>J159-H159</f>
        <v>0</v>
      </c>
      <c r="J159" s="17">
        <f>F159*G159</f>
        <v>0</v>
      </c>
      <c r="K159" s="17">
        <v>2.61028</v>
      </c>
      <c r="L159" s="17">
        <f>F159*K159</f>
        <v>31.1406404</v>
      </c>
      <c r="M159" s="29" t="s">
        <v>804</v>
      </c>
      <c r="N159" s="29" t="s">
        <v>7</v>
      </c>
      <c r="O159" s="17">
        <f>IF(N159="5",I159,0)</f>
        <v>0</v>
      </c>
      <c r="Z159" s="17">
        <f>IF(AD159=0,J159,0)</f>
        <v>0</v>
      </c>
      <c r="AA159" s="17">
        <f>IF(AD159=15,J159,0)</f>
        <v>0</v>
      </c>
      <c r="AB159" s="17">
        <f>IF(AD159=21,J159,0)</f>
        <v>0</v>
      </c>
      <c r="AD159" s="33">
        <v>21</v>
      </c>
      <c r="AE159" s="33">
        <f>G159*0.767185410334347</f>
        <v>0</v>
      </c>
      <c r="AF159" s="33">
        <f>G159*(1-0.767185410334347)</f>
        <v>0</v>
      </c>
      <c r="AM159" s="33">
        <f>F159*AE159</f>
        <v>0</v>
      </c>
      <c r="AN159" s="33">
        <f>F159*AF159</f>
        <v>0</v>
      </c>
      <c r="AO159" s="34" t="s">
        <v>828</v>
      </c>
      <c r="AP159" s="34" t="s">
        <v>856</v>
      </c>
      <c r="AQ159" s="26" t="s">
        <v>866</v>
      </c>
    </row>
    <row r="160" spans="4:6" ht="12.75">
      <c r="D160" s="13" t="s">
        <v>551</v>
      </c>
      <c r="F160" s="18">
        <v>0</v>
      </c>
    </row>
    <row r="161" spans="4:6" ht="12.75">
      <c r="D161" s="13" t="s">
        <v>552</v>
      </c>
      <c r="F161" s="18">
        <v>1.93</v>
      </c>
    </row>
    <row r="162" spans="4:6" ht="12.75">
      <c r="D162" s="13" t="s">
        <v>553</v>
      </c>
      <c r="F162" s="18">
        <v>0</v>
      </c>
    </row>
    <row r="163" spans="4:6" ht="12.75">
      <c r="D163" s="13" t="s">
        <v>554</v>
      </c>
      <c r="F163" s="18">
        <v>6.34</v>
      </c>
    </row>
    <row r="164" spans="4:6" ht="12.75">
      <c r="D164" s="13" t="s">
        <v>555</v>
      </c>
      <c r="F164" s="18">
        <v>3.17</v>
      </c>
    </row>
    <row r="165" spans="4:6" ht="12.75">
      <c r="D165" s="13" t="s">
        <v>556</v>
      </c>
      <c r="F165" s="18">
        <v>0</v>
      </c>
    </row>
    <row r="166" spans="4:6" ht="12.75">
      <c r="D166" s="13" t="s">
        <v>557</v>
      </c>
      <c r="F166" s="18">
        <v>0.49</v>
      </c>
    </row>
    <row r="167" spans="1:43" ht="12.75">
      <c r="A167" s="4" t="s">
        <v>60</v>
      </c>
      <c r="B167" s="4" t="s">
        <v>200</v>
      </c>
      <c r="C167" s="4" t="s">
        <v>254</v>
      </c>
      <c r="D167" s="4" t="s">
        <v>558</v>
      </c>
      <c r="E167" s="4" t="s">
        <v>776</v>
      </c>
      <c r="F167" s="17">
        <v>5.28</v>
      </c>
      <c r="G167" s="17"/>
      <c r="H167" s="17">
        <f>F167*AE167</f>
        <v>0</v>
      </c>
      <c r="I167" s="17">
        <f>J167-H167</f>
        <v>0</v>
      </c>
      <c r="J167" s="17">
        <f>F167*G167</f>
        <v>0</v>
      </c>
      <c r="K167" s="17">
        <v>0.03931</v>
      </c>
      <c r="L167" s="17">
        <f>F167*K167</f>
        <v>0.20755679999999999</v>
      </c>
      <c r="M167" s="29" t="s">
        <v>804</v>
      </c>
      <c r="N167" s="29" t="s">
        <v>7</v>
      </c>
      <c r="O167" s="17">
        <f>IF(N167="5",I167,0)</f>
        <v>0</v>
      </c>
      <c r="Z167" s="17">
        <f>IF(AD167=0,J167,0)</f>
        <v>0</v>
      </c>
      <c r="AA167" s="17">
        <f>IF(AD167=15,J167,0)</f>
        <v>0</v>
      </c>
      <c r="AB167" s="17">
        <f>IF(AD167=21,J167,0)</f>
        <v>0</v>
      </c>
      <c r="AD167" s="33">
        <v>21</v>
      </c>
      <c r="AE167" s="33">
        <f>G167*0.295631578947368</f>
        <v>0</v>
      </c>
      <c r="AF167" s="33">
        <f>G167*(1-0.295631578947368)</f>
        <v>0</v>
      </c>
      <c r="AM167" s="33">
        <f>F167*AE167</f>
        <v>0</v>
      </c>
      <c r="AN167" s="33">
        <f>F167*AF167</f>
        <v>0</v>
      </c>
      <c r="AO167" s="34" t="s">
        <v>828</v>
      </c>
      <c r="AP167" s="34" t="s">
        <v>856</v>
      </c>
      <c r="AQ167" s="26" t="s">
        <v>866</v>
      </c>
    </row>
    <row r="168" spans="4:6" ht="12.75">
      <c r="D168" s="13" t="s">
        <v>559</v>
      </c>
      <c r="F168" s="18">
        <v>0</v>
      </c>
    </row>
    <row r="169" spans="4:6" ht="12.75">
      <c r="D169" s="13" t="s">
        <v>560</v>
      </c>
      <c r="F169" s="18">
        <v>4.2</v>
      </c>
    </row>
    <row r="170" spans="4:6" ht="12.75">
      <c r="D170" s="13" t="s">
        <v>561</v>
      </c>
      <c r="F170" s="18">
        <v>1.08</v>
      </c>
    </row>
    <row r="171" spans="1:43" ht="12.75">
      <c r="A171" s="4" t="s">
        <v>61</v>
      </c>
      <c r="B171" s="4" t="s">
        <v>200</v>
      </c>
      <c r="C171" s="4" t="s">
        <v>255</v>
      </c>
      <c r="D171" s="4" t="s">
        <v>562</v>
      </c>
      <c r="E171" s="4" t="s">
        <v>776</v>
      </c>
      <c r="F171" s="17">
        <v>5.28</v>
      </c>
      <c r="G171" s="17"/>
      <c r="H171" s="17">
        <f>F171*AE171</f>
        <v>0</v>
      </c>
      <c r="I171" s="17">
        <f>J171-H171</f>
        <v>0</v>
      </c>
      <c r="J171" s="17">
        <f>F171*G171</f>
        <v>0</v>
      </c>
      <c r="K171" s="17">
        <v>0</v>
      </c>
      <c r="L171" s="17">
        <f>F171*K171</f>
        <v>0</v>
      </c>
      <c r="M171" s="29" t="s">
        <v>804</v>
      </c>
      <c r="N171" s="29" t="s">
        <v>7</v>
      </c>
      <c r="O171" s="17">
        <f>IF(N171="5",I171,0)</f>
        <v>0</v>
      </c>
      <c r="Z171" s="17">
        <f>IF(AD171=0,J171,0)</f>
        <v>0</v>
      </c>
      <c r="AA171" s="17">
        <f>IF(AD171=15,J171,0)</f>
        <v>0</v>
      </c>
      <c r="AB171" s="17">
        <f>IF(AD171=21,J171,0)</f>
        <v>0</v>
      </c>
      <c r="AD171" s="33">
        <v>21</v>
      </c>
      <c r="AE171" s="33">
        <f>G171*0</f>
        <v>0</v>
      </c>
      <c r="AF171" s="33">
        <f>G171*(1-0)</f>
        <v>0</v>
      </c>
      <c r="AM171" s="33">
        <f>F171*AE171</f>
        <v>0</v>
      </c>
      <c r="AN171" s="33">
        <f>F171*AF171</f>
        <v>0</v>
      </c>
      <c r="AO171" s="34" t="s">
        <v>828</v>
      </c>
      <c r="AP171" s="34" t="s">
        <v>856</v>
      </c>
      <c r="AQ171" s="26" t="s">
        <v>866</v>
      </c>
    </row>
    <row r="172" spans="1:43" ht="12.75">
      <c r="A172" s="4" t="s">
        <v>62</v>
      </c>
      <c r="B172" s="4" t="s">
        <v>200</v>
      </c>
      <c r="C172" s="4" t="s">
        <v>254</v>
      </c>
      <c r="D172" s="4" t="s">
        <v>558</v>
      </c>
      <c r="E172" s="4" t="s">
        <v>776</v>
      </c>
      <c r="F172" s="17">
        <v>40.32</v>
      </c>
      <c r="G172" s="17"/>
      <c r="H172" s="17">
        <f>F172*AE172</f>
        <v>0</v>
      </c>
      <c r="I172" s="17">
        <f>J172-H172</f>
        <v>0</v>
      </c>
      <c r="J172" s="17">
        <f>F172*G172</f>
        <v>0</v>
      </c>
      <c r="K172" s="17">
        <v>0.03931</v>
      </c>
      <c r="L172" s="17">
        <f>F172*K172</f>
        <v>1.5849791999999998</v>
      </c>
      <c r="M172" s="29" t="s">
        <v>804</v>
      </c>
      <c r="N172" s="29" t="s">
        <v>7</v>
      </c>
      <c r="O172" s="17">
        <f>IF(N172="5",I172,0)</f>
        <v>0</v>
      </c>
      <c r="Z172" s="17">
        <f>IF(AD172=0,J172,0)</f>
        <v>0</v>
      </c>
      <c r="AA172" s="17">
        <f>IF(AD172=15,J172,0)</f>
        <v>0</v>
      </c>
      <c r="AB172" s="17">
        <f>IF(AD172=21,J172,0)</f>
        <v>0</v>
      </c>
      <c r="AD172" s="33">
        <v>21</v>
      </c>
      <c r="AE172" s="33">
        <f>G172*0.295631578947368</f>
        <v>0</v>
      </c>
      <c r="AF172" s="33">
        <f>G172*(1-0.295631578947368)</f>
        <v>0</v>
      </c>
      <c r="AM172" s="33">
        <f>F172*AE172</f>
        <v>0</v>
      </c>
      <c r="AN172" s="33">
        <f>F172*AF172</f>
        <v>0</v>
      </c>
      <c r="AO172" s="34" t="s">
        <v>828</v>
      </c>
      <c r="AP172" s="34" t="s">
        <v>856</v>
      </c>
      <c r="AQ172" s="26" t="s">
        <v>866</v>
      </c>
    </row>
    <row r="173" spans="4:6" ht="12.75">
      <c r="D173" s="13" t="s">
        <v>563</v>
      </c>
      <c r="F173" s="18">
        <v>40.32</v>
      </c>
    </row>
    <row r="174" spans="1:43" ht="12.75">
      <c r="A174" s="4" t="s">
        <v>63</v>
      </c>
      <c r="B174" s="4" t="s">
        <v>200</v>
      </c>
      <c r="C174" s="4" t="s">
        <v>255</v>
      </c>
      <c r="D174" s="4" t="s">
        <v>562</v>
      </c>
      <c r="E174" s="4" t="s">
        <v>776</v>
      </c>
      <c r="F174" s="17">
        <v>40.32</v>
      </c>
      <c r="G174" s="17"/>
      <c r="H174" s="17">
        <f>F174*AE174</f>
        <v>0</v>
      </c>
      <c r="I174" s="17">
        <f>J174-H174</f>
        <v>0</v>
      </c>
      <c r="J174" s="17">
        <f>F174*G174</f>
        <v>0</v>
      </c>
      <c r="K174" s="17">
        <v>0</v>
      </c>
      <c r="L174" s="17">
        <f>F174*K174</f>
        <v>0</v>
      </c>
      <c r="M174" s="29" t="s">
        <v>804</v>
      </c>
      <c r="N174" s="29" t="s">
        <v>7</v>
      </c>
      <c r="O174" s="17">
        <f>IF(N174="5",I174,0)</f>
        <v>0</v>
      </c>
      <c r="Z174" s="17">
        <f>IF(AD174=0,J174,0)</f>
        <v>0</v>
      </c>
      <c r="AA174" s="17">
        <f>IF(AD174=15,J174,0)</f>
        <v>0</v>
      </c>
      <c r="AB174" s="17">
        <f>IF(AD174=21,J174,0)</f>
        <v>0</v>
      </c>
      <c r="AD174" s="33">
        <v>21</v>
      </c>
      <c r="AE174" s="33">
        <f>G174*0</f>
        <v>0</v>
      </c>
      <c r="AF174" s="33">
        <f>G174*(1-0)</f>
        <v>0</v>
      </c>
      <c r="AM174" s="33">
        <f>F174*AE174</f>
        <v>0</v>
      </c>
      <c r="AN174" s="33">
        <f>F174*AF174</f>
        <v>0</v>
      </c>
      <c r="AO174" s="34" t="s">
        <v>828</v>
      </c>
      <c r="AP174" s="34" t="s">
        <v>856</v>
      </c>
      <c r="AQ174" s="26" t="s">
        <v>866</v>
      </c>
    </row>
    <row r="175" spans="1:43" ht="12.75">
      <c r="A175" s="4" t="s">
        <v>64</v>
      </c>
      <c r="B175" s="4" t="s">
        <v>200</v>
      </c>
      <c r="C175" s="4" t="s">
        <v>256</v>
      </c>
      <c r="D175" s="4" t="s">
        <v>564</v>
      </c>
      <c r="E175" s="4" t="s">
        <v>779</v>
      </c>
      <c r="F175" s="17">
        <v>0.47</v>
      </c>
      <c r="G175" s="17"/>
      <c r="H175" s="17">
        <f>F175*AE175</f>
        <v>0</v>
      </c>
      <c r="I175" s="17">
        <f>J175-H175</f>
        <v>0</v>
      </c>
      <c r="J175" s="17">
        <f>F175*G175</f>
        <v>0</v>
      </c>
      <c r="K175" s="17">
        <v>1.02535</v>
      </c>
      <c r="L175" s="17">
        <f>F175*K175</f>
        <v>0.48191449999999997</v>
      </c>
      <c r="M175" s="29" t="s">
        <v>804</v>
      </c>
      <c r="N175" s="29" t="s">
        <v>7</v>
      </c>
      <c r="O175" s="17">
        <f>IF(N175="5",I175,0)</f>
        <v>0</v>
      </c>
      <c r="Z175" s="17">
        <f>IF(AD175=0,J175,0)</f>
        <v>0</v>
      </c>
      <c r="AA175" s="17">
        <f>IF(AD175=15,J175,0)</f>
        <v>0</v>
      </c>
      <c r="AB175" s="17">
        <f>IF(AD175=21,J175,0)</f>
        <v>0</v>
      </c>
      <c r="AD175" s="33">
        <v>21</v>
      </c>
      <c r="AE175" s="33">
        <f>G175*0.722618435549027</f>
        <v>0</v>
      </c>
      <c r="AF175" s="33">
        <f>G175*(1-0.722618435549027)</f>
        <v>0</v>
      </c>
      <c r="AM175" s="33">
        <f>F175*AE175</f>
        <v>0</v>
      </c>
      <c r="AN175" s="33">
        <f>F175*AF175</f>
        <v>0</v>
      </c>
      <c r="AO175" s="34" t="s">
        <v>828</v>
      </c>
      <c r="AP175" s="34" t="s">
        <v>856</v>
      </c>
      <c r="AQ175" s="26" t="s">
        <v>866</v>
      </c>
    </row>
    <row r="176" spans="1:37" ht="12.75">
      <c r="A176" s="3"/>
      <c r="B176" s="11" t="s">
        <v>200</v>
      </c>
      <c r="C176" s="11" t="s">
        <v>51</v>
      </c>
      <c r="D176" s="79" t="s">
        <v>565</v>
      </c>
      <c r="E176" s="80"/>
      <c r="F176" s="80"/>
      <c r="G176" s="80"/>
      <c r="H176" s="35">
        <f>SUM(H177:H192)</f>
        <v>0</v>
      </c>
      <c r="I176" s="35">
        <f>SUM(I177:I192)</f>
        <v>0</v>
      </c>
      <c r="J176" s="35">
        <f>H176+I176</f>
        <v>0</v>
      </c>
      <c r="K176" s="26"/>
      <c r="L176" s="35">
        <f>SUM(L177:L192)</f>
        <v>78.671102</v>
      </c>
      <c r="M176" s="26"/>
      <c r="P176" s="35">
        <f>IF(Q176="PR",J176,SUM(O177:O192))</f>
        <v>0</v>
      </c>
      <c r="Q176" s="26" t="s">
        <v>808</v>
      </c>
      <c r="R176" s="35">
        <f>IF(Q176="HS",H176,0)</f>
        <v>0</v>
      </c>
      <c r="S176" s="35">
        <f>IF(Q176="HS",I176-P176,0)</f>
        <v>0</v>
      </c>
      <c r="T176" s="35">
        <f>IF(Q176="PS",H176,0)</f>
        <v>0</v>
      </c>
      <c r="U176" s="35">
        <f>IF(Q176="PS",I176-P176,0)</f>
        <v>0</v>
      </c>
      <c r="V176" s="35">
        <f>IF(Q176="MP",H176,0)</f>
        <v>0</v>
      </c>
      <c r="W176" s="35">
        <f>IF(Q176="MP",I176-P176,0)</f>
        <v>0</v>
      </c>
      <c r="X176" s="35">
        <f>IF(Q176="OM",H176,0)</f>
        <v>0</v>
      </c>
      <c r="Y176" s="26" t="s">
        <v>200</v>
      </c>
      <c r="AI176" s="35">
        <f>SUM(Z177:Z192)</f>
        <v>0</v>
      </c>
      <c r="AJ176" s="35">
        <f>SUM(AA177:AA192)</f>
        <v>0</v>
      </c>
      <c r="AK176" s="35">
        <f>SUM(AB177:AB192)</f>
        <v>0</v>
      </c>
    </row>
    <row r="177" spans="1:43" ht="12.75">
      <c r="A177" s="4" t="s">
        <v>65</v>
      </c>
      <c r="B177" s="4" t="s">
        <v>200</v>
      </c>
      <c r="C177" s="4" t="s">
        <v>257</v>
      </c>
      <c r="D177" s="4" t="s">
        <v>566</v>
      </c>
      <c r="E177" s="4" t="s">
        <v>776</v>
      </c>
      <c r="F177" s="17">
        <v>136</v>
      </c>
      <c r="G177" s="17"/>
      <c r="H177" s="17">
        <f>F177*AE177</f>
        <v>0</v>
      </c>
      <c r="I177" s="17">
        <f>J177-H177</f>
        <v>0</v>
      </c>
      <c r="J177" s="17">
        <f>F177*G177</f>
        <v>0</v>
      </c>
      <c r="K177" s="17">
        <v>0.20266</v>
      </c>
      <c r="L177" s="17">
        <f>F177*K177</f>
        <v>27.56176</v>
      </c>
      <c r="M177" s="29" t="s">
        <v>804</v>
      </c>
      <c r="N177" s="29" t="s">
        <v>7</v>
      </c>
      <c r="O177" s="17">
        <f>IF(N177="5",I177,0)</f>
        <v>0</v>
      </c>
      <c r="Z177" s="17">
        <f>IF(AD177=0,J177,0)</f>
        <v>0</v>
      </c>
      <c r="AA177" s="17">
        <f>IF(AD177=15,J177,0)</f>
        <v>0</v>
      </c>
      <c r="AB177" s="17">
        <f>IF(AD177=21,J177,0)</f>
        <v>0</v>
      </c>
      <c r="AD177" s="33">
        <v>21</v>
      </c>
      <c r="AE177" s="33">
        <f>G177*0.771266540642722</f>
        <v>0</v>
      </c>
      <c r="AF177" s="33">
        <f>G177*(1-0.771266540642722)</f>
        <v>0</v>
      </c>
      <c r="AM177" s="33">
        <f>F177*AE177</f>
        <v>0</v>
      </c>
      <c r="AN177" s="33">
        <f>F177*AF177</f>
        <v>0</v>
      </c>
      <c r="AO177" s="34" t="s">
        <v>829</v>
      </c>
      <c r="AP177" s="34" t="s">
        <v>857</v>
      </c>
      <c r="AQ177" s="26" t="s">
        <v>866</v>
      </c>
    </row>
    <row r="178" spans="4:6" ht="12.75">
      <c r="D178" s="13" t="s">
        <v>413</v>
      </c>
      <c r="F178" s="18">
        <v>14.4</v>
      </c>
    </row>
    <row r="179" spans="4:6" ht="12.75">
      <c r="D179" s="13" t="s">
        <v>414</v>
      </c>
      <c r="F179" s="18">
        <v>21.6</v>
      </c>
    </row>
    <row r="180" spans="4:6" ht="12.75">
      <c r="D180" s="13" t="s">
        <v>567</v>
      </c>
      <c r="F180" s="18">
        <v>100</v>
      </c>
    </row>
    <row r="181" spans="1:43" ht="12.75">
      <c r="A181" s="4" t="s">
        <v>66</v>
      </c>
      <c r="B181" s="4" t="s">
        <v>200</v>
      </c>
      <c r="C181" s="4" t="s">
        <v>258</v>
      </c>
      <c r="D181" s="4" t="s">
        <v>568</v>
      </c>
      <c r="E181" s="4" t="s">
        <v>778</v>
      </c>
      <c r="F181" s="17">
        <v>18.51</v>
      </c>
      <c r="G181" s="17"/>
      <c r="H181" s="17">
        <f>F181*AE181</f>
        <v>0</v>
      </c>
      <c r="I181" s="17">
        <f>J181-H181</f>
        <v>0</v>
      </c>
      <c r="J181" s="17">
        <f>F181*G181</f>
        <v>0</v>
      </c>
      <c r="K181" s="17">
        <v>1.1322</v>
      </c>
      <c r="L181" s="17">
        <f>F181*K181</f>
        <v>20.957022000000002</v>
      </c>
      <c r="M181" s="29" t="s">
        <v>804</v>
      </c>
      <c r="N181" s="29" t="s">
        <v>7</v>
      </c>
      <c r="O181" s="17">
        <f>IF(N181="5",I181,0)</f>
        <v>0</v>
      </c>
      <c r="Z181" s="17">
        <f>IF(AD181=0,J181,0)</f>
        <v>0</v>
      </c>
      <c r="AA181" s="17">
        <f>IF(AD181=15,J181,0)</f>
        <v>0</v>
      </c>
      <c r="AB181" s="17">
        <f>IF(AD181=21,J181,0)</f>
        <v>0</v>
      </c>
      <c r="AD181" s="33">
        <v>21</v>
      </c>
      <c r="AE181" s="33">
        <f>G181*0.482813738441215</f>
        <v>0</v>
      </c>
      <c r="AF181" s="33">
        <f>G181*(1-0.482813738441215)</f>
        <v>0</v>
      </c>
      <c r="AM181" s="33">
        <f>F181*AE181</f>
        <v>0</v>
      </c>
      <c r="AN181" s="33">
        <f>F181*AF181</f>
        <v>0</v>
      </c>
      <c r="AO181" s="34" t="s">
        <v>829</v>
      </c>
      <c r="AP181" s="34" t="s">
        <v>857</v>
      </c>
      <c r="AQ181" s="26" t="s">
        <v>866</v>
      </c>
    </row>
    <row r="182" spans="4:6" ht="12.75">
      <c r="D182" s="13" t="s">
        <v>569</v>
      </c>
      <c r="F182" s="18">
        <v>12.28</v>
      </c>
    </row>
    <row r="183" spans="4:6" ht="12.75">
      <c r="D183" s="13" t="s">
        <v>570</v>
      </c>
      <c r="F183" s="18">
        <v>6.23</v>
      </c>
    </row>
    <row r="184" spans="1:43" ht="12.75">
      <c r="A184" s="4" t="s">
        <v>67</v>
      </c>
      <c r="B184" s="4" t="s">
        <v>200</v>
      </c>
      <c r="C184" s="4" t="s">
        <v>259</v>
      </c>
      <c r="D184" s="4" t="s">
        <v>571</v>
      </c>
      <c r="E184" s="4" t="s">
        <v>776</v>
      </c>
      <c r="F184" s="17">
        <v>136</v>
      </c>
      <c r="G184" s="17"/>
      <c r="H184" s="17">
        <f>F184*AE184</f>
        <v>0</v>
      </c>
      <c r="I184" s="17">
        <f>J184-H184</f>
        <v>0</v>
      </c>
      <c r="J184" s="17">
        <f>F184*G184</f>
        <v>0</v>
      </c>
      <c r="K184" s="17">
        <v>0.16192</v>
      </c>
      <c r="L184" s="17">
        <f>F184*K184</f>
        <v>22.02112</v>
      </c>
      <c r="M184" s="29" t="s">
        <v>804</v>
      </c>
      <c r="N184" s="29" t="s">
        <v>7</v>
      </c>
      <c r="O184" s="17">
        <f>IF(N184="5",I184,0)</f>
        <v>0</v>
      </c>
      <c r="Z184" s="17">
        <f>IF(AD184=0,J184,0)</f>
        <v>0</v>
      </c>
      <c r="AA184" s="17">
        <f>IF(AD184=15,J184,0)</f>
        <v>0</v>
      </c>
      <c r="AB184" s="17">
        <f>IF(AD184=21,J184,0)</f>
        <v>0</v>
      </c>
      <c r="AD184" s="33">
        <v>21</v>
      </c>
      <c r="AE184" s="33">
        <f>G184*0.812732919254658</f>
        <v>0</v>
      </c>
      <c r="AF184" s="33">
        <f>G184*(1-0.812732919254658)</f>
        <v>0</v>
      </c>
      <c r="AM184" s="33">
        <f>F184*AE184</f>
        <v>0</v>
      </c>
      <c r="AN184" s="33">
        <f>F184*AF184</f>
        <v>0</v>
      </c>
      <c r="AO184" s="34" t="s">
        <v>829</v>
      </c>
      <c r="AP184" s="34" t="s">
        <v>857</v>
      </c>
      <c r="AQ184" s="26" t="s">
        <v>866</v>
      </c>
    </row>
    <row r="185" spans="1:43" ht="12.75">
      <c r="A185" s="4" t="s">
        <v>68</v>
      </c>
      <c r="B185" s="4" t="s">
        <v>200</v>
      </c>
      <c r="C185" s="4" t="s">
        <v>260</v>
      </c>
      <c r="D185" s="4" t="s">
        <v>572</v>
      </c>
      <c r="E185" s="4" t="s">
        <v>778</v>
      </c>
      <c r="F185" s="17">
        <v>3.7</v>
      </c>
      <c r="G185" s="17"/>
      <c r="H185" s="17">
        <f>F185*AE185</f>
        <v>0</v>
      </c>
      <c r="I185" s="17">
        <f>J185-H185</f>
        <v>0</v>
      </c>
      <c r="J185" s="17">
        <f>F185*G185</f>
        <v>0</v>
      </c>
      <c r="K185" s="17">
        <v>2.088</v>
      </c>
      <c r="L185" s="17">
        <f>F185*K185</f>
        <v>7.725600000000001</v>
      </c>
      <c r="M185" s="29" t="s">
        <v>804</v>
      </c>
      <c r="N185" s="29" t="s">
        <v>7</v>
      </c>
      <c r="O185" s="17">
        <f>IF(N185="5",I185,0)</f>
        <v>0</v>
      </c>
      <c r="Z185" s="17">
        <f>IF(AD185=0,J185,0)</f>
        <v>0</v>
      </c>
      <c r="AA185" s="17">
        <f>IF(AD185=15,J185,0)</f>
        <v>0</v>
      </c>
      <c r="AB185" s="17">
        <f>IF(AD185=21,J185,0)</f>
        <v>0</v>
      </c>
      <c r="AD185" s="33">
        <v>21</v>
      </c>
      <c r="AE185" s="33">
        <f>G185*0.653795871559633</f>
        <v>0</v>
      </c>
      <c r="AF185" s="33">
        <f>G185*(1-0.653795871559633)</f>
        <v>0</v>
      </c>
      <c r="AM185" s="33">
        <f>F185*AE185</f>
        <v>0</v>
      </c>
      <c r="AN185" s="33">
        <f>F185*AF185</f>
        <v>0</v>
      </c>
      <c r="AO185" s="34" t="s">
        <v>829</v>
      </c>
      <c r="AP185" s="34" t="s">
        <v>857</v>
      </c>
      <c r="AQ185" s="26" t="s">
        <v>866</v>
      </c>
    </row>
    <row r="186" spans="4:6" ht="12.75">
      <c r="D186" s="13" t="s">
        <v>573</v>
      </c>
      <c r="F186" s="18">
        <v>0</v>
      </c>
    </row>
    <row r="187" spans="4:6" ht="12.75">
      <c r="D187" s="13" t="s">
        <v>574</v>
      </c>
      <c r="F187" s="18">
        <v>2.16</v>
      </c>
    </row>
    <row r="188" spans="4:6" ht="12.75">
      <c r="D188" s="13" t="s">
        <v>575</v>
      </c>
      <c r="F188" s="18">
        <v>1.54</v>
      </c>
    </row>
    <row r="189" spans="1:43" ht="12.75">
      <c r="A189" s="4" t="s">
        <v>69</v>
      </c>
      <c r="B189" s="4" t="s">
        <v>200</v>
      </c>
      <c r="C189" s="4" t="s">
        <v>261</v>
      </c>
      <c r="D189" s="4" t="s">
        <v>576</v>
      </c>
      <c r="E189" s="4" t="s">
        <v>781</v>
      </c>
      <c r="F189" s="17">
        <v>6</v>
      </c>
      <c r="G189" s="17"/>
      <c r="H189" s="17">
        <f>F189*AE189</f>
        <v>0</v>
      </c>
      <c r="I189" s="17">
        <f>J189-H189</f>
        <v>0</v>
      </c>
      <c r="J189" s="17">
        <f>F189*G189</f>
        <v>0</v>
      </c>
      <c r="K189" s="17">
        <v>0.0066</v>
      </c>
      <c r="L189" s="17">
        <f>F189*K189</f>
        <v>0.039599999999999996</v>
      </c>
      <c r="M189" s="29" t="s">
        <v>804</v>
      </c>
      <c r="N189" s="29" t="s">
        <v>7</v>
      </c>
      <c r="O189" s="17">
        <f>IF(N189="5",I189,0)</f>
        <v>0</v>
      </c>
      <c r="Z189" s="17">
        <f>IF(AD189=0,J189,0)</f>
        <v>0</v>
      </c>
      <c r="AA189" s="17">
        <f>IF(AD189=15,J189,0)</f>
        <v>0</v>
      </c>
      <c r="AB189" s="17">
        <f>IF(AD189=21,J189,0)</f>
        <v>0</v>
      </c>
      <c r="AD189" s="33">
        <v>21</v>
      </c>
      <c r="AE189" s="33">
        <f>G189*0.497103448275862</f>
        <v>0</v>
      </c>
      <c r="AF189" s="33">
        <f>G189*(1-0.497103448275862)</f>
        <v>0</v>
      </c>
      <c r="AM189" s="33">
        <f>F189*AE189</f>
        <v>0</v>
      </c>
      <c r="AN189" s="33">
        <f>F189*AF189</f>
        <v>0</v>
      </c>
      <c r="AO189" s="34" t="s">
        <v>829</v>
      </c>
      <c r="AP189" s="34" t="s">
        <v>857</v>
      </c>
      <c r="AQ189" s="26" t="s">
        <v>866</v>
      </c>
    </row>
    <row r="190" spans="1:43" ht="12.75">
      <c r="A190" s="5" t="s">
        <v>70</v>
      </c>
      <c r="B190" s="5" t="s">
        <v>200</v>
      </c>
      <c r="C190" s="5" t="s">
        <v>262</v>
      </c>
      <c r="D190" s="5" t="s">
        <v>577</v>
      </c>
      <c r="E190" s="5" t="s">
        <v>781</v>
      </c>
      <c r="F190" s="19">
        <v>1</v>
      </c>
      <c r="G190" s="19"/>
      <c r="H190" s="19">
        <f>F190*AE190</f>
        <v>0</v>
      </c>
      <c r="I190" s="19">
        <f>J190-H190</f>
        <v>0</v>
      </c>
      <c r="J190" s="19">
        <f>F190*G190</f>
        <v>0</v>
      </c>
      <c r="K190" s="19">
        <v>0.04</v>
      </c>
      <c r="L190" s="19">
        <f>F190*K190</f>
        <v>0.04</v>
      </c>
      <c r="M190" s="30" t="s">
        <v>804</v>
      </c>
      <c r="N190" s="30" t="s">
        <v>805</v>
      </c>
      <c r="O190" s="19">
        <f>IF(N190="5",I190,0)</f>
        <v>0</v>
      </c>
      <c r="Z190" s="19">
        <f>IF(AD190=0,J190,0)</f>
        <v>0</v>
      </c>
      <c r="AA190" s="19">
        <f>IF(AD190=15,J190,0)</f>
        <v>0</v>
      </c>
      <c r="AB190" s="19">
        <f>IF(AD190=21,J190,0)</f>
        <v>0</v>
      </c>
      <c r="AD190" s="33">
        <v>21</v>
      </c>
      <c r="AE190" s="33">
        <f>G190*1</f>
        <v>0</v>
      </c>
      <c r="AF190" s="33">
        <f>G190*(1-1)</f>
        <v>0</v>
      </c>
      <c r="AM190" s="33">
        <f>F190*AE190</f>
        <v>0</v>
      </c>
      <c r="AN190" s="33">
        <f>F190*AF190</f>
        <v>0</v>
      </c>
      <c r="AO190" s="34" t="s">
        <v>829</v>
      </c>
      <c r="AP190" s="34" t="s">
        <v>857</v>
      </c>
      <c r="AQ190" s="26" t="s">
        <v>866</v>
      </c>
    </row>
    <row r="191" spans="1:43" ht="12.75">
      <c r="A191" s="5" t="s">
        <v>71</v>
      </c>
      <c r="B191" s="5" t="s">
        <v>200</v>
      </c>
      <c r="C191" s="5" t="s">
        <v>263</v>
      </c>
      <c r="D191" s="5" t="s">
        <v>578</v>
      </c>
      <c r="E191" s="5" t="s">
        <v>781</v>
      </c>
      <c r="F191" s="19">
        <v>1</v>
      </c>
      <c r="G191" s="19"/>
      <c r="H191" s="19">
        <f>F191*AE191</f>
        <v>0</v>
      </c>
      <c r="I191" s="19">
        <f>J191-H191</f>
        <v>0</v>
      </c>
      <c r="J191" s="19">
        <f>F191*G191</f>
        <v>0</v>
      </c>
      <c r="K191" s="19">
        <v>0.054</v>
      </c>
      <c r="L191" s="19">
        <f>F191*K191</f>
        <v>0.054</v>
      </c>
      <c r="M191" s="30" t="s">
        <v>804</v>
      </c>
      <c r="N191" s="30" t="s">
        <v>805</v>
      </c>
      <c r="O191" s="19">
        <f>IF(N191="5",I191,0)</f>
        <v>0</v>
      </c>
      <c r="Z191" s="19">
        <f>IF(AD191=0,J191,0)</f>
        <v>0</v>
      </c>
      <c r="AA191" s="19">
        <f>IF(AD191=15,J191,0)</f>
        <v>0</v>
      </c>
      <c r="AB191" s="19">
        <f>IF(AD191=21,J191,0)</f>
        <v>0</v>
      </c>
      <c r="AD191" s="33">
        <v>21</v>
      </c>
      <c r="AE191" s="33">
        <f>G191*1</f>
        <v>0</v>
      </c>
      <c r="AF191" s="33">
        <f>G191*(1-1)</f>
        <v>0</v>
      </c>
      <c r="AM191" s="33">
        <f>F191*AE191</f>
        <v>0</v>
      </c>
      <c r="AN191" s="33">
        <f>F191*AF191</f>
        <v>0</v>
      </c>
      <c r="AO191" s="34" t="s">
        <v>829</v>
      </c>
      <c r="AP191" s="34" t="s">
        <v>857</v>
      </c>
      <c r="AQ191" s="26" t="s">
        <v>866</v>
      </c>
    </row>
    <row r="192" spans="1:43" ht="12.75">
      <c r="A192" s="5" t="s">
        <v>72</v>
      </c>
      <c r="B192" s="5" t="s">
        <v>200</v>
      </c>
      <c r="C192" s="5" t="s">
        <v>264</v>
      </c>
      <c r="D192" s="5" t="s">
        <v>579</v>
      </c>
      <c r="E192" s="5" t="s">
        <v>781</v>
      </c>
      <c r="F192" s="19">
        <v>4</v>
      </c>
      <c r="G192" s="19"/>
      <c r="H192" s="19">
        <f>F192*AE192</f>
        <v>0</v>
      </c>
      <c r="I192" s="19">
        <f>J192-H192</f>
        <v>0</v>
      </c>
      <c r="J192" s="19">
        <f>F192*G192</f>
        <v>0</v>
      </c>
      <c r="K192" s="19">
        <v>0.068</v>
      </c>
      <c r="L192" s="19">
        <f>F192*K192</f>
        <v>0.272</v>
      </c>
      <c r="M192" s="30" t="s">
        <v>804</v>
      </c>
      <c r="N192" s="30" t="s">
        <v>805</v>
      </c>
      <c r="O192" s="19">
        <f>IF(N192="5",I192,0)</f>
        <v>0</v>
      </c>
      <c r="Z192" s="19">
        <f>IF(AD192=0,J192,0)</f>
        <v>0</v>
      </c>
      <c r="AA192" s="19">
        <f>IF(AD192=15,J192,0)</f>
        <v>0</v>
      </c>
      <c r="AB192" s="19">
        <f>IF(AD192=21,J192,0)</f>
        <v>0</v>
      </c>
      <c r="AD192" s="33">
        <v>21</v>
      </c>
      <c r="AE192" s="33">
        <f>G192*1</f>
        <v>0</v>
      </c>
      <c r="AF192" s="33">
        <f>G192*(1-1)</f>
        <v>0</v>
      </c>
      <c r="AM192" s="33">
        <f>F192*AE192</f>
        <v>0</v>
      </c>
      <c r="AN192" s="33">
        <f>F192*AF192</f>
        <v>0</v>
      </c>
      <c r="AO192" s="34" t="s">
        <v>829</v>
      </c>
      <c r="AP192" s="34" t="s">
        <v>857</v>
      </c>
      <c r="AQ192" s="26" t="s">
        <v>866</v>
      </c>
    </row>
    <row r="193" spans="1:37" ht="12.75">
      <c r="A193" s="3"/>
      <c r="B193" s="11" t="s">
        <v>200</v>
      </c>
      <c r="C193" s="11" t="s">
        <v>62</v>
      </c>
      <c r="D193" s="79" t="s">
        <v>580</v>
      </c>
      <c r="E193" s="80"/>
      <c r="F193" s="80"/>
      <c r="G193" s="80"/>
      <c r="H193" s="35">
        <f>SUM(H194:H194)</f>
        <v>0</v>
      </c>
      <c r="I193" s="35">
        <f>SUM(I194:I194)</f>
        <v>0</v>
      </c>
      <c r="J193" s="35">
        <f>H193+I193</f>
        <v>0</v>
      </c>
      <c r="K193" s="26"/>
      <c r="L193" s="35">
        <f>SUM(L194:L194)</f>
        <v>67.6935</v>
      </c>
      <c r="M193" s="26"/>
      <c r="P193" s="35">
        <f>IF(Q193="PR",J193,SUM(O194:O194))</f>
        <v>0</v>
      </c>
      <c r="Q193" s="26" t="s">
        <v>808</v>
      </c>
      <c r="R193" s="35">
        <f>IF(Q193="HS",H193,0)</f>
        <v>0</v>
      </c>
      <c r="S193" s="35">
        <f>IF(Q193="HS",I193-P193,0)</f>
        <v>0</v>
      </c>
      <c r="T193" s="35">
        <f>IF(Q193="PS",H193,0)</f>
        <v>0</v>
      </c>
      <c r="U193" s="35">
        <f>IF(Q193="PS",I193-P193,0)</f>
        <v>0</v>
      </c>
      <c r="V193" s="35">
        <f>IF(Q193="MP",H193,0)</f>
        <v>0</v>
      </c>
      <c r="W193" s="35">
        <f>IF(Q193="MP",I193-P193,0)</f>
        <v>0</v>
      </c>
      <c r="X193" s="35">
        <f>IF(Q193="OM",H193,0)</f>
        <v>0</v>
      </c>
      <c r="Y193" s="26" t="s">
        <v>200</v>
      </c>
      <c r="AI193" s="35">
        <f>SUM(Z194:Z194)</f>
        <v>0</v>
      </c>
      <c r="AJ193" s="35">
        <f>SUM(AA194:AA194)</f>
        <v>0</v>
      </c>
      <c r="AK193" s="35">
        <f>SUM(AB194:AB194)</f>
        <v>0</v>
      </c>
    </row>
    <row r="194" spans="1:43" ht="12.75">
      <c r="A194" s="4" t="s">
        <v>73</v>
      </c>
      <c r="B194" s="4" t="s">
        <v>200</v>
      </c>
      <c r="C194" s="4" t="s">
        <v>265</v>
      </c>
      <c r="D194" s="4" t="s">
        <v>581</v>
      </c>
      <c r="E194" s="4" t="s">
        <v>776</v>
      </c>
      <c r="F194" s="17">
        <v>153.5</v>
      </c>
      <c r="G194" s="17"/>
      <c r="H194" s="17">
        <f>F194*AE194</f>
        <v>0</v>
      </c>
      <c r="I194" s="17">
        <f>J194-H194</f>
        <v>0</v>
      </c>
      <c r="J194" s="17">
        <f>F194*G194</f>
        <v>0</v>
      </c>
      <c r="K194" s="17">
        <v>0.441</v>
      </c>
      <c r="L194" s="17">
        <f>F194*K194</f>
        <v>67.6935</v>
      </c>
      <c r="M194" s="29" t="s">
        <v>804</v>
      </c>
      <c r="N194" s="29" t="s">
        <v>7</v>
      </c>
      <c r="O194" s="17">
        <f>IF(N194="5",I194,0)</f>
        <v>0</v>
      </c>
      <c r="Z194" s="17">
        <f>IF(AD194=0,J194,0)</f>
        <v>0</v>
      </c>
      <c r="AA194" s="17">
        <f>IF(AD194=15,J194,0)</f>
        <v>0</v>
      </c>
      <c r="AB194" s="17">
        <f>IF(AD194=21,J194,0)</f>
        <v>0</v>
      </c>
      <c r="AD194" s="33">
        <v>21</v>
      </c>
      <c r="AE194" s="33">
        <f>G194*0.874506024096385</f>
        <v>0</v>
      </c>
      <c r="AF194" s="33">
        <f>G194*(1-0.874506024096385)</f>
        <v>0</v>
      </c>
      <c r="AM194" s="33">
        <f>F194*AE194</f>
        <v>0</v>
      </c>
      <c r="AN194" s="33">
        <f>F194*AF194</f>
        <v>0</v>
      </c>
      <c r="AO194" s="34" t="s">
        <v>830</v>
      </c>
      <c r="AP194" s="34" t="s">
        <v>858</v>
      </c>
      <c r="AQ194" s="26" t="s">
        <v>866</v>
      </c>
    </row>
    <row r="195" spans="4:6" ht="12.75">
      <c r="D195" s="13" t="s">
        <v>582</v>
      </c>
      <c r="F195" s="18">
        <v>17.5</v>
      </c>
    </row>
    <row r="196" spans="4:6" ht="12.75">
      <c r="D196" s="13" t="s">
        <v>583</v>
      </c>
      <c r="F196" s="18">
        <v>136</v>
      </c>
    </row>
    <row r="197" spans="1:37" ht="12.75">
      <c r="A197" s="3"/>
      <c r="B197" s="11" t="s">
        <v>200</v>
      </c>
      <c r="C197" s="11" t="s">
        <v>64</v>
      </c>
      <c r="D197" s="79" t="s">
        <v>584</v>
      </c>
      <c r="E197" s="80"/>
      <c r="F197" s="80"/>
      <c r="G197" s="80"/>
      <c r="H197" s="35">
        <f>SUM(H198:H198)</f>
        <v>0</v>
      </c>
      <c r="I197" s="35">
        <f>SUM(I198:I198)</f>
        <v>0</v>
      </c>
      <c r="J197" s="35">
        <f>H197+I197</f>
        <v>0</v>
      </c>
      <c r="K197" s="26"/>
      <c r="L197" s="35">
        <f>SUM(L198:L198)</f>
        <v>12.441275</v>
      </c>
      <c r="M197" s="26"/>
      <c r="P197" s="35">
        <f>IF(Q197="PR",J197,SUM(O198:O198))</f>
        <v>0</v>
      </c>
      <c r="Q197" s="26" t="s">
        <v>808</v>
      </c>
      <c r="R197" s="35">
        <f>IF(Q197="HS",H197,0)</f>
        <v>0</v>
      </c>
      <c r="S197" s="35">
        <f>IF(Q197="HS",I197-P197,0)</f>
        <v>0</v>
      </c>
      <c r="T197" s="35">
        <f>IF(Q197="PS",H197,0)</f>
        <v>0</v>
      </c>
      <c r="U197" s="35">
        <f>IF(Q197="PS",I197-P197,0)</f>
        <v>0</v>
      </c>
      <c r="V197" s="35">
        <f>IF(Q197="MP",H197,0)</f>
        <v>0</v>
      </c>
      <c r="W197" s="35">
        <f>IF(Q197="MP",I197-P197,0)</f>
        <v>0</v>
      </c>
      <c r="X197" s="35">
        <f>IF(Q197="OM",H197,0)</f>
        <v>0</v>
      </c>
      <c r="Y197" s="26" t="s">
        <v>200</v>
      </c>
      <c r="AI197" s="35">
        <f>SUM(Z198:Z198)</f>
        <v>0</v>
      </c>
      <c r="AJ197" s="35">
        <f>SUM(AA198:AA198)</f>
        <v>0</v>
      </c>
      <c r="AK197" s="35">
        <f>SUM(AB198:AB198)</f>
        <v>0</v>
      </c>
    </row>
    <row r="198" spans="1:43" ht="12.75">
      <c r="A198" s="4" t="s">
        <v>74</v>
      </c>
      <c r="B198" s="4" t="s">
        <v>200</v>
      </c>
      <c r="C198" s="4" t="s">
        <v>266</v>
      </c>
      <c r="D198" s="4" t="s">
        <v>585</v>
      </c>
      <c r="E198" s="4" t="s">
        <v>776</v>
      </c>
      <c r="F198" s="17">
        <v>17.5</v>
      </c>
      <c r="G198" s="17"/>
      <c r="H198" s="17">
        <f>F198*AE198</f>
        <v>0</v>
      </c>
      <c r="I198" s="17">
        <f>J198-H198</f>
        <v>0</v>
      </c>
      <c r="J198" s="17">
        <f>F198*G198</f>
        <v>0</v>
      </c>
      <c r="K198" s="17">
        <v>0.71093</v>
      </c>
      <c r="L198" s="17">
        <f>F198*K198</f>
        <v>12.441275</v>
      </c>
      <c r="M198" s="29" t="s">
        <v>804</v>
      </c>
      <c r="N198" s="29" t="s">
        <v>9</v>
      </c>
      <c r="O198" s="17">
        <f>IF(N198="5",I198,0)</f>
        <v>0</v>
      </c>
      <c r="Z198" s="17">
        <f>IF(AD198=0,J198,0)</f>
        <v>0</v>
      </c>
      <c r="AA198" s="17">
        <f>IF(AD198=15,J198,0)</f>
        <v>0</v>
      </c>
      <c r="AB198" s="17">
        <f>IF(AD198=21,J198,0)</f>
        <v>0</v>
      </c>
      <c r="AD198" s="33">
        <v>21</v>
      </c>
      <c r="AE198" s="33">
        <f>G198*0.704598597038192</f>
        <v>0</v>
      </c>
      <c r="AF198" s="33">
        <f>G198*(1-0.704598597038192)</f>
        <v>0</v>
      </c>
      <c r="AM198" s="33">
        <f>F198*AE198</f>
        <v>0</v>
      </c>
      <c r="AN198" s="33">
        <f>F198*AF198</f>
        <v>0</v>
      </c>
      <c r="AO198" s="34" t="s">
        <v>831</v>
      </c>
      <c r="AP198" s="34" t="s">
        <v>858</v>
      </c>
      <c r="AQ198" s="26" t="s">
        <v>866</v>
      </c>
    </row>
    <row r="199" spans="4:6" ht="12.75">
      <c r="D199" s="13" t="s">
        <v>586</v>
      </c>
      <c r="F199" s="18">
        <v>17.5</v>
      </c>
    </row>
    <row r="200" spans="1:37" ht="12.75">
      <c r="A200" s="3"/>
      <c r="B200" s="11" t="s">
        <v>200</v>
      </c>
      <c r="C200" s="11" t="s">
        <v>65</v>
      </c>
      <c r="D200" s="79" t="s">
        <v>587</v>
      </c>
      <c r="E200" s="80"/>
      <c r="F200" s="80"/>
      <c r="G200" s="80"/>
      <c r="H200" s="35">
        <f>SUM(H201:H206)</f>
        <v>0</v>
      </c>
      <c r="I200" s="35">
        <f>SUM(I201:I206)</f>
        <v>0</v>
      </c>
      <c r="J200" s="35">
        <f>H200+I200</f>
        <v>0</v>
      </c>
      <c r="K200" s="26"/>
      <c r="L200" s="35">
        <f>SUM(L201:L206)</f>
        <v>14.6941</v>
      </c>
      <c r="M200" s="26"/>
      <c r="P200" s="35">
        <f>IF(Q200="PR",J200,SUM(O201:O206))</f>
        <v>0</v>
      </c>
      <c r="Q200" s="26" t="s">
        <v>808</v>
      </c>
      <c r="R200" s="35">
        <f>IF(Q200="HS",H200,0)</f>
        <v>0</v>
      </c>
      <c r="S200" s="35">
        <f>IF(Q200="HS",I200-P200,0)</f>
        <v>0</v>
      </c>
      <c r="T200" s="35">
        <f>IF(Q200="PS",H200,0)</f>
        <v>0</v>
      </c>
      <c r="U200" s="35">
        <f>IF(Q200="PS",I200-P200,0)</f>
        <v>0</v>
      </c>
      <c r="V200" s="35">
        <f>IF(Q200="MP",H200,0)</f>
        <v>0</v>
      </c>
      <c r="W200" s="35">
        <f>IF(Q200="MP",I200-P200,0)</f>
        <v>0</v>
      </c>
      <c r="X200" s="35">
        <f>IF(Q200="OM",H200,0)</f>
        <v>0</v>
      </c>
      <c r="Y200" s="26" t="s">
        <v>200</v>
      </c>
      <c r="AI200" s="35">
        <f>SUM(Z201:Z206)</f>
        <v>0</v>
      </c>
      <c r="AJ200" s="35">
        <f>SUM(AA201:AA206)</f>
        <v>0</v>
      </c>
      <c r="AK200" s="35">
        <f>SUM(AB201:AB206)</f>
        <v>0</v>
      </c>
    </row>
    <row r="201" spans="1:43" ht="12.75">
      <c r="A201" s="4" t="s">
        <v>75</v>
      </c>
      <c r="B201" s="4" t="s">
        <v>200</v>
      </c>
      <c r="C201" s="4" t="s">
        <v>267</v>
      </c>
      <c r="D201" s="4" t="s">
        <v>588</v>
      </c>
      <c r="E201" s="4" t="s">
        <v>776</v>
      </c>
      <c r="F201" s="17">
        <v>136</v>
      </c>
      <c r="G201" s="17"/>
      <c r="H201" s="17">
        <f aca="true" t="shared" si="0" ref="H201:H206">F201*AE201</f>
        <v>0</v>
      </c>
      <c r="I201" s="17">
        <f aca="true" t="shared" si="1" ref="I201:I206">J201-H201</f>
        <v>0</v>
      </c>
      <c r="J201" s="17">
        <f aca="true" t="shared" si="2" ref="J201:J206">F201*G201</f>
        <v>0</v>
      </c>
      <c r="K201" s="17">
        <v>0.072</v>
      </c>
      <c r="L201" s="17">
        <f aca="true" t="shared" si="3" ref="L201:L206">F201*K201</f>
        <v>9.792</v>
      </c>
      <c r="M201" s="29" t="s">
        <v>804</v>
      </c>
      <c r="N201" s="29" t="s">
        <v>7</v>
      </c>
      <c r="O201" s="17">
        <f aca="true" t="shared" si="4" ref="O201:O206">IF(N201="5",I201,0)</f>
        <v>0</v>
      </c>
      <c r="Z201" s="17">
        <f aca="true" t="shared" si="5" ref="Z201:Z206">IF(AD201=0,J201,0)</f>
        <v>0</v>
      </c>
      <c r="AA201" s="17">
        <f aca="true" t="shared" si="6" ref="AA201:AA206">IF(AD201=15,J201,0)</f>
        <v>0</v>
      </c>
      <c r="AB201" s="17">
        <f aca="true" t="shared" si="7" ref="AB201:AB206">IF(AD201=21,J201,0)</f>
        <v>0</v>
      </c>
      <c r="AD201" s="33">
        <v>21</v>
      </c>
      <c r="AE201" s="33">
        <f>G201*0.175056179775281</f>
        <v>0</v>
      </c>
      <c r="AF201" s="33">
        <f>G201*(1-0.175056179775281)</f>
        <v>0</v>
      </c>
      <c r="AM201" s="33">
        <f aca="true" t="shared" si="8" ref="AM201:AM206">F201*AE201</f>
        <v>0</v>
      </c>
      <c r="AN201" s="33">
        <f aca="true" t="shared" si="9" ref="AN201:AN206">F201*AF201</f>
        <v>0</v>
      </c>
      <c r="AO201" s="34" t="s">
        <v>832</v>
      </c>
      <c r="AP201" s="34" t="s">
        <v>858</v>
      </c>
      <c r="AQ201" s="26" t="s">
        <v>866</v>
      </c>
    </row>
    <row r="202" spans="1:43" ht="12.75">
      <c r="A202" s="5" t="s">
        <v>76</v>
      </c>
      <c r="B202" s="5" t="s">
        <v>200</v>
      </c>
      <c r="C202" s="5" t="s">
        <v>268</v>
      </c>
      <c r="D202" s="5" t="s">
        <v>589</v>
      </c>
      <c r="E202" s="5" t="s">
        <v>776</v>
      </c>
      <c r="F202" s="19">
        <v>4.5</v>
      </c>
      <c r="G202" s="19"/>
      <c r="H202" s="19">
        <f t="shared" si="0"/>
        <v>0</v>
      </c>
      <c r="I202" s="19">
        <f t="shared" si="1"/>
        <v>0</v>
      </c>
      <c r="J202" s="19">
        <f t="shared" si="2"/>
        <v>0</v>
      </c>
      <c r="K202" s="19">
        <v>0.0966</v>
      </c>
      <c r="L202" s="19">
        <f t="shared" si="3"/>
        <v>0.43470000000000003</v>
      </c>
      <c r="M202" s="30" t="s">
        <v>804</v>
      </c>
      <c r="N202" s="30" t="s">
        <v>805</v>
      </c>
      <c r="O202" s="19">
        <f t="shared" si="4"/>
        <v>0</v>
      </c>
      <c r="Z202" s="19">
        <f t="shared" si="5"/>
        <v>0</v>
      </c>
      <c r="AA202" s="19">
        <f t="shared" si="6"/>
        <v>0</v>
      </c>
      <c r="AB202" s="19">
        <f t="shared" si="7"/>
        <v>0</v>
      </c>
      <c r="AD202" s="33">
        <v>21</v>
      </c>
      <c r="AE202" s="33">
        <f>G202*1</f>
        <v>0</v>
      </c>
      <c r="AF202" s="33">
        <f>G202*(1-1)</f>
        <v>0</v>
      </c>
      <c r="AM202" s="33">
        <f t="shared" si="8"/>
        <v>0</v>
      </c>
      <c r="AN202" s="33">
        <f t="shared" si="9"/>
        <v>0</v>
      </c>
      <c r="AO202" s="34" t="s">
        <v>832</v>
      </c>
      <c r="AP202" s="34" t="s">
        <v>858</v>
      </c>
      <c r="AQ202" s="26" t="s">
        <v>866</v>
      </c>
    </row>
    <row r="203" spans="1:43" ht="12.75">
      <c r="A203" s="5" t="s">
        <v>77</v>
      </c>
      <c r="B203" s="5" t="s">
        <v>200</v>
      </c>
      <c r="C203" s="5" t="s">
        <v>269</v>
      </c>
      <c r="D203" s="5" t="s">
        <v>590</v>
      </c>
      <c r="E203" s="5" t="s">
        <v>776</v>
      </c>
      <c r="F203" s="19">
        <v>10</v>
      </c>
      <c r="G203" s="19"/>
      <c r="H203" s="19">
        <f t="shared" si="0"/>
        <v>0</v>
      </c>
      <c r="I203" s="19">
        <f t="shared" si="1"/>
        <v>0</v>
      </c>
      <c r="J203" s="19">
        <f t="shared" si="2"/>
        <v>0</v>
      </c>
      <c r="K203" s="19">
        <v>0.17245</v>
      </c>
      <c r="L203" s="19">
        <f t="shared" si="3"/>
        <v>1.7245</v>
      </c>
      <c r="M203" s="30" t="s">
        <v>804</v>
      </c>
      <c r="N203" s="30" t="s">
        <v>805</v>
      </c>
      <c r="O203" s="19">
        <f t="shared" si="4"/>
        <v>0</v>
      </c>
      <c r="Z203" s="19">
        <f t="shared" si="5"/>
        <v>0</v>
      </c>
      <c r="AA203" s="19">
        <f t="shared" si="6"/>
        <v>0</v>
      </c>
      <c r="AB203" s="19">
        <f t="shared" si="7"/>
        <v>0</v>
      </c>
      <c r="AD203" s="33">
        <v>21</v>
      </c>
      <c r="AE203" s="33">
        <f>G203*1</f>
        <v>0</v>
      </c>
      <c r="AF203" s="33">
        <f>G203*(1-1)</f>
        <v>0</v>
      </c>
      <c r="AM203" s="33">
        <f t="shared" si="8"/>
        <v>0</v>
      </c>
      <c r="AN203" s="33">
        <f t="shared" si="9"/>
        <v>0</v>
      </c>
      <c r="AO203" s="34" t="s">
        <v>832</v>
      </c>
      <c r="AP203" s="34" t="s">
        <v>858</v>
      </c>
      <c r="AQ203" s="26" t="s">
        <v>866</v>
      </c>
    </row>
    <row r="204" spans="1:43" ht="12.75">
      <c r="A204" s="4" t="s">
        <v>78</v>
      </c>
      <c r="B204" s="4" t="s">
        <v>200</v>
      </c>
      <c r="C204" s="4" t="s">
        <v>270</v>
      </c>
      <c r="D204" s="4" t="s">
        <v>591</v>
      </c>
      <c r="E204" s="4" t="s">
        <v>781</v>
      </c>
      <c r="F204" s="17">
        <v>18</v>
      </c>
      <c r="G204" s="17"/>
      <c r="H204" s="17">
        <f t="shared" si="0"/>
        <v>0</v>
      </c>
      <c r="I204" s="17">
        <f t="shared" si="1"/>
        <v>0</v>
      </c>
      <c r="J204" s="17">
        <f t="shared" si="2"/>
        <v>0</v>
      </c>
      <c r="K204" s="17">
        <v>0.11565</v>
      </c>
      <c r="L204" s="17">
        <f t="shared" si="3"/>
        <v>2.0817</v>
      </c>
      <c r="M204" s="29" t="s">
        <v>804</v>
      </c>
      <c r="N204" s="29" t="s">
        <v>7</v>
      </c>
      <c r="O204" s="17">
        <f t="shared" si="4"/>
        <v>0</v>
      </c>
      <c r="Z204" s="17">
        <f t="shared" si="5"/>
        <v>0</v>
      </c>
      <c r="AA204" s="17">
        <f t="shared" si="6"/>
        <v>0</v>
      </c>
      <c r="AB204" s="17">
        <f t="shared" si="7"/>
        <v>0</v>
      </c>
      <c r="AD204" s="33">
        <v>21</v>
      </c>
      <c r="AE204" s="33">
        <f>G204*0.421784037558685</f>
        <v>0</v>
      </c>
      <c r="AF204" s="33">
        <f>G204*(1-0.421784037558685)</f>
        <v>0</v>
      </c>
      <c r="AM204" s="33">
        <f t="shared" si="8"/>
        <v>0</v>
      </c>
      <c r="AN204" s="33">
        <f t="shared" si="9"/>
        <v>0</v>
      </c>
      <c r="AO204" s="34" t="s">
        <v>832</v>
      </c>
      <c r="AP204" s="34" t="s">
        <v>858</v>
      </c>
      <c r="AQ204" s="26" t="s">
        <v>866</v>
      </c>
    </row>
    <row r="205" spans="1:43" ht="12.75">
      <c r="A205" s="5" t="s">
        <v>79</v>
      </c>
      <c r="B205" s="5" t="s">
        <v>200</v>
      </c>
      <c r="C205" s="5" t="s">
        <v>271</v>
      </c>
      <c r="D205" s="5" t="s">
        <v>592</v>
      </c>
      <c r="E205" s="5" t="s">
        <v>781</v>
      </c>
      <c r="F205" s="19">
        <v>18</v>
      </c>
      <c r="G205" s="19"/>
      <c r="H205" s="19">
        <f t="shared" si="0"/>
        <v>0</v>
      </c>
      <c r="I205" s="19">
        <f t="shared" si="1"/>
        <v>0</v>
      </c>
      <c r="J205" s="19">
        <f t="shared" si="2"/>
        <v>0</v>
      </c>
      <c r="K205" s="19">
        <v>0.0364</v>
      </c>
      <c r="L205" s="19">
        <f t="shared" si="3"/>
        <v>0.6552</v>
      </c>
      <c r="M205" s="30" t="s">
        <v>804</v>
      </c>
      <c r="N205" s="30" t="s">
        <v>805</v>
      </c>
      <c r="O205" s="19">
        <f t="shared" si="4"/>
        <v>0</v>
      </c>
      <c r="Z205" s="19">
        <f t="shared" si="5"/>
        <v>0</v>
      </c>
      <c r="AA205" s="19">
        <f t="shared" si="6"/>
        <v>0</v>
      </c>
      <c r="AB205" s="19">
        <f t="shared" si="7"/>
        <v>0</v>
      </c>
      <c r="AD205" s="33">
        <v>21</v>
      </c>
      <c r="AE205" s="33">
        <f>G205*1</f>
        <v>0</v>
      </c>
      <c r="AF205" s="33">
        <f>G205*(1-1)</f>
        <v>0</v>
      </c>
      <c r="AM205" s="33">
        <f t="shared" si="8"/>
        <v>0</v>
      </c>
      <c r="AN205" s="33">
        <f t="shared" si="9"/>
        <v>0</v>
      </c>
      <c r="AO205" s="34" t="s">
        <v>832</v>
      </c>
      <c r="AP205" s="34" t="s">
        <v>858</v>
      </c>
      <c r="AQ205" s="26" t="s">
        <v>866</v>
      </c>
    </row>
    <row r="206" spans="1:43" ht="12.75">
      <c r="A206" s="5" t="s">
        <v>80</v>
      </c>
      <c r="B206" s="5" t="s">
        <v>200</v>
      </c>
      <c r="C206" s="5" t="s">
        <v>272</v>
      </c>
      <c r="D206" s="5" t="s">
        <v>593</v>
      </c>
      <c r="E206" s="5" t="s">
        <v>781</v>
      </c>
      <c r="F206" s="19">
        <v>2</v>
      </c>
      <c r="G206" s="19"/>
      <c r="H206" s="19">
        <f t="shared" si="0"/>
        <v>0</v>
      </c>
      <c r="I206" s="19">
        <f t="shared" si="1"/>
        <v>0</v>
      </c>
      <c r="J206" s="19">
        <f t="shared" si="2"/>
        <v>0</v>
      </c>
      <c r="K206" s="19">
        <v>0.003</v>
      </c>
      <c r="L206" s="19">
        <f t="shared" si="3"/>
        <v>0.006</v>
      </c>
      <c r="M206" s="30" t="s">
        <v>804</v>
      </c>
      <c r="N206" s="30" t="s">
        <v>805</v>
      </c>
      <c r="O206" s="19">
        <f t="shared" si="4"/>
        <v>0</v>
      </c>
      <c r="Z206" s="19">
        <f t="shared" si="5"/>
        <v>0</v>
      </c>
      <c r="AA206" s="19">
        <f t="shared" si="6"/>
        <v>0</v>
      </c>
      <c r="AB206" s="19">
        <f t="shared" si="7"/>
        <v>0</v>
      </c>
      <c r="AD206" s="33">
        <v>21</v>
      </c>
      <c r="AE206" s="33">
        <f>G206*1</f>
        <v>0</v>
      </c>
      <c r="AF206" s="33">
        <f>G206*(1-1)</f>
        <v>0</v>
      </c>
      <c r="AM206" s="33">
        <f t="shared" si="8"/>
        <v>0</v>
      </c>
      <c r="AN206" s="33">
        <f t="shared" si="9"/>
        <v>0</v>
      </c>
      <c r="AO206" s="34" t="s">
        <v>832</v>
      </c>
      <c r="AP206" s="34" t="s">
        <v>858</v>
      </c>
      <c r="AQ206" s="26" t="s">
        <v>866</v>
      </c>
    </row>
    <row r="207" spans="1:37" ht="12.75">
      <c r="A207" s="3"/>
      <c r="B207" s="11" t="s">
        <v>200</v>
      </c>
      <c r="C207" s="11" t="s">
        <v>67</v>
      </c>
      <c r="D207" s="79" t="s">
        <v>594</v>
      </c>
      <c r="E207" s="80"/>
      <c r="F207" s="80"/>
      <c r="G207" s="80"/>
      <c r="H207" s="35">
        <f>SUM(H208:H208)</f>
        <v>0</v>
      </c>
      <c r="I207" s="35">
        <f>SUM(I208:I208)</f>
        <v>0</v>
      </c>
      <c r="J207" s="35">
        <f>H207+I207</f>
        <v>0</v>
      </c>
      <c r="K207" s="26"/>
      <c r="L207" s="35">
        <f>SUM(L208:L208)</f>
        <v>0.17809999999999998</v>
      </c>
      <c r="M207" s="26"/>
      <c r="P207" s="35">
        <f>IF(Q207="PR",J207,SUM(O208:O208))</f>
        <v>0</v>
      </c>
      <c r="Q207" s="26" t="s">
        <v>808</v>
      </c>
      <c r="R207" s="35">
        <f>IF(Q207="HS",H207,0)</f>
        <v>0</v>
      </c>
      <c r="S207" s="35">
        <f>IF(Q207="HS",I207-P207,0)</f>
        <v>0</v>
      </c>
      <c r="T207" s="35">
        <f>IF(Q207="PS",H207,0)</f>
        <v>0</v>
      </c>
      <c r="U207" s="35">
        <f>IF(Q207="PS",I207-P207,0)</f>
        <v>0</v>
      </c>
      <c r="V207" s="35">
        <f>IF(Q207="MP",H207,0)</f>
        <v>0</v>
      </c>
      <c r="W207" s="35">
        <f>IF(Q207="MP",I207-P207,0)</f>
        <v>0</v>
      </c>
      <c r="X207" s="35">
        <f>IF(Q207="OM",H207,0)</f>
        <v>0</v>
      </c>
      <c r="Y207" s="26" t="s">
        <v>200</v>
      </c>
      <c r="AI207" s="35">
        <f>SUM(Z208:Z208)</f>
        <v>0</v>
      </c>
      <c r="AJ207" s="35">
        <f>SUM(AA208:AA208)</f>
        <v>0</v>
      </c>
      <c r="AK207" s="35">
        <f>SUM(AB208:AB208)</f>
        <v>0</v>
      </c>
    </row>
    <row r="208" spans="1:43" ht="12.75">
      <c r="A208" s="4" t="s">
        <v>81</v>
      </c>
      <c r="B208" s="4" t="s">
        <v>200</v>
      </c>
      <c r="C208" s="4" t="s">
        <v>273</v>
      </c>
      <c r="D208" s="4" t="s">
        <v>595</v>
      </c>
      <c r="E208" s="4" t="s">
        <v>781</v>
      </c>
      <c r="F208" s="17">
        <v>5</v>
      </c>
      <c r="G208" s="17"/>
      <c r="H208" s="17">
        <f>F208*AE208</f>
        <v>0</v>
      </c>
      <c r="I208" s="17">
        <f>J208-H208</f>
        <v>0</v>
      </c>
      <c r="J208" s="17">
        <f>F208*G208</f>
        <v>0</v>
      </c>
      <c r="K208" s="17">
        <v>0.03562</v>
      </c>
      <c r="L208" s="17">
        <f>F208*K208</f>
        <v>0.17809999999999998</v>
      </c>
      <c r="M208" s="29" t="s">
        <v>804</v>
      </c>
      <c r="N208" s="29" t="s">
        <v>7</v>
      </c>
      <c r="O208" s="17">
        <f>IF(N208="5",I208,0)</f>
        <v>0</v>
      </c>
      <c r="Z208" s="17">
        <f>IF(AD208=0,J208,0)</f>
        <v>0</v>
      </c>
      <c r="AA208" s="17">
        <f>IF(AD208=15,J208,0)</f>
        <v>0</v>
      </c>
      <c r="AB208" s="17">
        <f>IF(AD208=21,J208,0)</f>
        <v>0</v>
      </c>
      <c r="AD208" s="33">
        <v>21</v>
      </c>
      <c r="AE208" s="33">
        <f>G208*0.32139697322468</f>
        <v>0</v>
      </c>
      <c r="AF208" s="33">
        <f>G208*(1-0.32139697322468)</f>
        <v>0</v>
      </c>
      <c r="AM208" s="33">
        <f>F208*AE208</f>
        <v>0</v>
      </c>
      <c r="AN208" s="33">
        <f>F208*AF208</f>
        <v>0</v>
      </c>
      <c r="AO208" s="34" t="s">
        <v>833</v>
      </c>
      <c r="AP208" s="34" t="s">
        <v>859</v>
      </c>
      <c r="AQ208" s="26" t="s">
        <v>866</v>
      </c>
    </row>
    <row r="209" spans="1:37" ht="12.75">
      <c r="A209" s="3"/>
      <c r="B209" s="11" t="s">
        <v>200</v>
      </c>
      <c r="C209" s="11" t="s">
        <v>69</v>
      </c>
      <c r="D209" s="79" t="s">
        <v>596</v>
      </c>
      <c r="E209" s="80"/>
      <c r="F209" s="80"/>
      <c r="G209" s="80"/>
      <c r="H209" s="35">
        <f>SUM(H210:H212)</f>
        <v>0</v>
      </c>
      <c r="I209" s="35">
        <f>SUM(I210:I212)</f>
        <v>0</v>
      </c>
      <c r="J209" s="35">
        <f>H209+I209</f>
        <v>0</v>
      </c>
      <c r="K209" s="26"/>
      <c r="L209" s="35">
        <f>SUM(L210:L212)</f>
        <v>0.70204</v>
      </c>
      <c r="M209" s="26"/>
      <c r="P209" s="35">
        <f>IF(Q209="PR",J209,SUM(O210:O212))</f>
        <v>0</v>
      </c>
      <c r="Q209" s="26" t="s">
        <v>808</v>
      </c>
      <c r="R209" s="35">
        <f>IF(Q209="HS",H209,0)</f>
        <v>0</v>
      </c>
      <c r="S209" s="35">
        <f>IF(Q209="HS",I209-P209,0)</f>
        <v>0</v>
      </c>
      <c r="T209" s="35">
        <f>IF(Q209="PS",H209,0)</f>
        <v>0</v>
      </c>
      <c r="U209" s="35">
        <f>IF(Q209="PS",I209-P209,0)</f>
        <v>0</v>
      </c>
      <c r="V209" s="35">
        <f>IF(Q209="MP",H209,0)</f>
        <v>0</v>
      </c>
      <c r="W209" s="35">
        <f>IF(Q209="MP",I209-P209,0)</f>
        <v>0</v>
      </c>
      <c r="X209" s="35">
        <f>IF(Q209="OM",H209,0)</f>
        <v>0</v>
      </c>
      <c r="Y209" s="26" t="s">
        <v>200</v>
      </c>
      <c r="AI209" s="35">
        <f>SUM(Z210:Z212)</f>
        <v>0</v>
      </c>
      <c r="AJ209" s="35">
        <f>SUM(AA210:AA212)</f>
        <v>0</v>
      </c>
      <c r="AK209" s="35">
        <f>SUM(AB210:AB212)</f>
        <v>0</v>
      </c>
    </row>
    <row r="210" spans="1:43" ht="12.75">
      <c r="A210" s="4" t="s">
        <v>82</v>
      </c>
      <c r="B210" s="4" t="s">
        <v>200</v>
      </c>
      <c r="C210" s="4" t="s">
        <v>274</v>
      </c>
      <c r="D210" s="4" t="s">
        <v>597</v>
      </c>
      <c r="E210" s="4" t="s">
        <v>778</v>
      </c>
      <c r="F210" s="17">
        <v>0.23</v>
      </c>
      <c r="G210" s="17"/>
      <c r="H210" s="17">
        <f>F210*AE210</f>
        <v>0</v>
      </c>
      <c r="I210" s="17">
        <f>J210-H210</f>
        <v>0</v>
      </c>
      <c r="J210" s="17">
        <f>F210*G210</f>
        <v>0</v>
      </c>
      <c r="K210" s="17">
        <v>2.525</v>
      </c>
      <c r="L210" s="17">
        <f>F210*K210</f>
        <v>0.58075</v>
      </c>
      <c r="M210" s="29" t="s">
        <v>804</v>
      </c>
      <c r="N210" s="29" t="s">
        <v>7</v>
      </c>
      <c r="O210" s="17">
        <f>IF(N210="5",I210,0)</f>
        <v>0</v>
      </c>
      <c r="Z210" s="17">
        <f>IF(AD210=0,J210,0)</f>
        <v>0</v>
      </c>
      <c r="AA210" s="17">
        <f>IF(AD210=15,J210,0)</f>
        <v>0</v>
      </c>
      <c r="AB210" s="17">
        <f>IF(AD210=21,J210,0)</f>
        <v>0</v>
      </c>
      <c r="AD210" s="33">
        <v>21</v>
      </c>
      <c r="AE210" s="33">
        <f>G210*0.763226039783002</f>
        <v>0</v>
      </c>
      <c r="AF210" s="33">
        <f>G210*(1-0.763226039783002)</f>
        <v>0</v>
      </c>
      <c r="AM210" s="33">
        <f>F210*AE210</f>
        <v>0</v>
      </c>
      <c r="AN210" s="33">
        <f>F210*AF210</f>
        <v>0</v>
      </c>
      <c r="AO210" s="34" t="s">
        <v>834</v>
      </c>
      <c r="AP210" s="34" t="s">
        <v>859</v>
      </c>
      <c r="AQ210" s="26" t="s">
        <v>866</v>
      </c>
    </row>
    <row r="211" spans="4:6" ht="12.75">
      <c r="D211" s="13" t="s">
        <v>598</v>
      </c>
      <c r="F211" s="18">
        <v>0.23</v>
      </c>
    </row>
    <row r="212" spans="1:43" ht="12.75">
      <c r="A212" s="4" t="s">
        <v>83</v>
      </c>
      <c r="B212" s="4" t="s">
        <v>200</v>
      </c>
      <c r="C212" s="4" t="s">
        <v>275</v>
      </c>
      <c r="D212" s="4" t="s">
        <v>599</v>
      </c>
      <c r="E212" s="4" t="s">
        <v>776</v>
      </c>
      <c r="F212" s="17">
        <v>1.5</v>
      </c>
      <c r="G212" s="17"/>
      <c r="H212" s="17">
        <f>F212*AE212</f>
        <v>0</v>
      </c>
      <c r="I212" s="17">
        <f>J212-H212</f>
        <v>0</v>
      </c>
      <c r="J212" s="17">
        <f>F212*G212</f>
        <v>0</v>
      </c>
      <c r="K212" s="17">
        <v>0.08086</v>
      </c>
      <c r="L212" s="17">
        <f>F212*K212</f>
        <v>0.12129000000000001</v>
      </c>
      <c r="M212" s="29" t="s">
        <v>804</v>
      </c>
      <c r="N212" s="29" t="s">
        <v>7</v>
      </c>
      <c r="O212" s="17">
        <f>IF(N212="5",I212,0)</f>
        <v>0</v>
      </c>
      <c r="Z212" s="17">
        <f>IF(AD212=0,J212,0)</f>
        <v>0</v>
      </c>
      <c r="AA212" s="17">
        <f>IF(AD212=15,J212,0)</f>
        <v>0</v>
      </c>
      <c r="AB212" s="17">
        <f>IF(AD212=21,J212,0)</f>
        <v>0</v>
      </c>
      <c r="AD212" s="33">
        <v>21</v>
      </c>
      <c r="AE212" s="33">
        <f>G212*0.641130500546203</f>
        <v>0</v>
      </c>
      <c r="AF212" s="33">
        <f>G212*(1-0.641130500546203)</f>
        <v>0</v>
      </c>
      <c r="AM212" s="33">
        <f>F212*AE212</f>
        <v>0</v>
      </c>
      <c r="AN212" s="33">
        <f>F212*AF212</f>
        <v>0</v>
      </c>
      <c r="AO212" s="34" t="s">
        <v>834</v>
      </c>
      <c r="AP212" s="34" t="s">
        <v>859</v>
      </c>
      <c r="AQ212" s="26" t="s">
        <v>866</v>
      </c>
    </row>
    <row r="213" spans="1:37" ht="12.75">
      <c r="A213" s="3"/>
      <c r="B213" s="11" t="s">
        <v>200</v>
      </c>
      <c r="C213" s="11" t="s">
        <v>276</v>
      </c>
      <c r="D213" s="79" t="s">
        <v>600</v>
      </c>
      <c r="E213" s="80"/>
      <c r="F213" s="80"/>
      <c r="G213" s="80"/>
      <c r="H213" s="35">
        <f>SUM(H214:H221)</f>
        <v>0</v>
      </c>
      <c r="I213" s="35">
        <f>SUM(I214:I221)</f>
        <v>0</v>
      </c>
      <c r="J213" s="35">
        <f>H213+I213</f>
        <v>0</v>
      </c>
      <c r="K213" s="26"/>
      <c r="L213" s="35">
        <f>SUM(L214:L221)</f>
        <v>0.46973999999999994</v>
      </c>
      <c r="M213" s="26"/>
      <c r="P213" s="35">
        <f>IF(Q213="PR",J213,SUM(O214:O221))</f>
        <v>0</v>
      </c>
      <c r="Q213" s="26" t="s">
        <v>809</v>
      </c>
      <c r="R213" s="35">
        <f>IF(Q213="HS",H213,0)</f>
        <v>0</v>
      </c>
      <c r="S213" s="35">
        <f>IF(Q213="HS",I213-P213,0)</f>
        <v>0</v>
      </c>
      <c r="T213" s="35">
        <f>IF(Q213="PS",H213,0)</f>
        <v>0</v>
      </c>
      <c r="U213" s="35">
        <f>IF(Q213="PS",I213-P213,0)</f>
        <v>0</v>
      </c>
      <c r="V213" s="35">
        <f>IF(Q213="MP",H213,0)</f>
        <v>0</v>
      </c>
      <c r="W213" s="35">
        <f>IF(Q213="MP",I213-P213,0)</f>
        <v>0</v>
      </c>
      <c r="X213" s="35">
        <f>IF(Q213="OM",H213,0)</f>
        <v>0</v>
      </c>
      <c r="Y213" s="26" t="s">
        <v>200</v>
      </c>
      <c r="AI213" s="35">
        <f>SUM(Z214:Z221)</f>
        <v>0</v>
      </c>
      <c r="AJ213" s="35">
        <f>SUM(AA214:AA221)</f>
        <v>0</v>
      </c>
      <c r="AK213" s="35">
        <f>SUM(AB214:AB221)</f>
        <v>0</v>
      </c>
    </row>
    <row r="214" spans="1:43" ht="12.75">
      <c r="A214" s="4" t="s">
        <v>84</v>
      </c>
      <c r="B214" s="4" t="s">
        <v>200</v>
      </c>
      <c r="C214" s="4" t="s">
        <v>277</v>
      </c>
      <c r="D214" s="4" t="s">
        <v>601</v>
      </c>
      <c r="E214" s="4" t="s">
        <v>777</v>
      </c>
      <c r="F214" s="17">
        <v>7.5</v>
      </c>
      <c r="G214" s="17"/>
      <c r="H214" s="17">
        <f aca="true" t="shared" si="10" ref="H214:H221">F214*AE214</f>
        <v>0</v>
      </c>
      <c r="I214" s="17">
        <f aca="true" t="shared" si="11" ref="I214:I221">J214-H214</f>
        <v>0</v>
      </c>
      <c r="J214" s="17">
        <f aca="true" t="shared" si="12" ref="J214:J221">F214*G214</f>
        <v>0</v>
      </c>
      <c r="K214" s="17">
        <v>0.0025</v>
      </c>
      <c r="L214" s="17">
        <f aca="true" t="shared" si="13" ref="L214:L221">F214*K214</f>
        <v>0.01875</v>
      </c>
      <c r="M214" s="29" t="s">
        <v>804</v>
      </c>
      <c r="N214" s="29" t="s">
        <v>7</v>
      </c>
      <c r="O214" s="17">
        <f aca="true" t="shared" si="14" ref="O214:O221">IF(N214="5",I214,0)</f>
        <v>0</v>
      </c>
      <c r="Z214" s="17">
        <f aca="true" t="shared" si="15" ref="Z214:Z221">IF(AD214=0,J214,0)</f>
        <v>0</v>
      </c>
      <c r="AA214" s="17">
        <f aca="true" t="shared" si="16" ref="AA214:AA221">IF(AD214=15,J214,0)</f>
        <v>0</v>
      </c>
      <c r="AB214" s="17">
        <f aca="true" t="shared" si="17" ref="AB214:AB221">IF(AD214=21,J214,0)</f>
        <v>0</v>
      </c>
      <c r="AD214" s="33">
        <v>21</v>
      </c>
      <c r="AE214" s="33">
        <f>G214*0.536131907308378</f>
        <v>0</v>
      </c>
      <c r="AF214" s="33">
        <f>G214*(1-0.536131907308378)</f>
        <v>0</v>
      </c>
      <c r="AM214" s="33">
        <f aca="true" t="shared" si="18" ref="AM214:AM221">F214*AE214</f>
        <v>0</v>
      </c>
      <c r="AN214" s="33">
        <f aca="true" t="shared" si="19" ref="AN214:AN221">F214*AF214</f>
        <v>0</v>
      </c>
      <c r="AO214" s="34" t="s">
        <v>835</v>
      </c>
      <c r="AP214" s="34" t="s">
        <v>860</v>
      </c>
      <c r="AQ214" s="26" t="s">
        <v>866</v>
      </c>
    </row>
    <row r="215" spans="1:43" ht="12.75">
      <c r="A215" s="4" t="s">
        <v>85</v>
      </c>
      <c r="B215" s="4" t="s">
        <v>200</v>
      </c>
      <c r="C215" s="4" t="s">
        <v>278</v>
      </c>
      <c r="D215" s="4" t="s">
        <v>602</v>
      </c>
      <c r="E215" s="4" t="s">
        <v>781</v>
      </c>
      <c r="F215" s="17">
        <v>1</v>
      </c>
      <c r="G215" s="17"/>
      <c r="H215" s="17">
        <f t="shared" si="10"/>
        <v>0</v>
      </c>
      <c r="I215" s="17">
        <f t="shared" si="11"/>
        <v>0</v>
      </c>
      <c r="J215" s="17">
        <f t="shared" si="12"/>
        <v>0</v>
      </c>
      <c r="K215" s="17">
        <v>0.0005</v>
      </c>
      <c r="L215" s="17">
        <f t="shared" si="13"/>
        <v>0.0005</v>
      </c>
      <c r="M215" s="29" t="s">
        <v>804</v>
      </c>
      <c r="N215" s="29" t="s">
        <v>7</v>
      </c>
      <c r="O215" s="17">
        <f t="shared" si="14"/>
        <v>0</v>
      </c>
      <c r="Z215" s="17">
        <f t="shared" si="15"/>
        <v>0</v>
      </c>
      <c r="AA215" s="17">
        <f t="shared" si="16"/>
        <v>0</v>
      </c>
      <c r="AB215" s="17">
        <f t="shared" si="17"/>
        <v>0</v>
      </c>
      <c r="AD215" s="33">
        <v>21</v>
      </c>
      <c r="AE215" s="33">
        <f>G215*0.886482412060301</f>
        <v>0</v>
      </c>
      <c r="AF215" s="33">
        <f>G215*(1-0.886482412060301)</f>
        <v>0</v>
      </c>
      <c r="AM215" s="33">
        <f t="shared" si="18"/>
        <v>0</v>
      </c>
      <c r="AN215" s="33">
        <f t="shared" si="19"/>
        <v>0</v>
      </c>
      <c r="AO215" s="34" t="s">
        <v>835</v>
      </c>
      <c r="AP215" s="34" t="s">
        <v>860</v>
      </c>
      <c r="AQ215" s="26" t="s">
        <v>866</v>
      </c>
    </row>
    <row r="216" spans="1:43" ht="12.75">
      <c r="A216" s="4" t="s">
        <v>86</v>
      </c>
      <c r="B216" s="4" t="s">
        <v>200</v>
      </c>
      <c r="C216" s="4" t="s">
        <v>279</v>
      </c>
      <c r="D216" s="4" t="s">
        <v>603</v>
      </c>
      <c r="E216" s="4" t="s">
        <v>781</v>
      </c>
      <c r="F216" s="17">
        <v>1</v>
      </c>
      <c r="G216" s="17"/>
      <c r="H216" s="17">
        <f t="shared" si="10"/>
        <v>0</v>
      </c>
      <c r="I216" s="17">
        <f t="shared" si="11"/>
        <v>0</v>
      </c>
      <c r="J216" s="17">
        <f t="shared" si="12"/>
        <v>0</v>
      </c>
      <c r="K216" s="17">
        <v>0</v>
      </c>
      <c r="L216" s="17">
        <f t="shared" si="13"/>
        <v>0</v>
      </c>
      <c r="M216" s="29" t="s">
        <v>804</v>
      </c>
      <c r="N216" s="29" t="s">
        <v>7</v>
      </c>
      <c r="O216" s="17">
        <f t="shared" si="14"/>
        <v>0</v>
      </c>
      <c r="Z216" s="17">
        <f t="shared" si="15"/>
        <v>0</v>
      </c>
      <c r="AA216" s="17">
        <f t="shared" si="16"/>
        <v>0</v>
      </c>
      <c r="AB216" s="17">
        <f t="shared" si="17"/>
        <v>0</v>
      </c>
      <c r="AD216" s="33">
        <v>21</v>
      </c>
      <c r="AE216" s="33">
        <f>G216*0</f>
        <v>0</v>
      </c>
      <c r="AF216" s="33">
        <f>G216*(1-0)</f>
        <v>0</v>
      </c>
      <c r="AM216" s="33">
        <f t="shared" si="18"/>
        <v>0</v>
      </c>
      <c r="AN216" s="33">
        <f t="shared" si="19"/>
        <v>0</v>
      </c>
      <c r="AO216" s="34" t="s">
        <v>835</v>
      </c>
      <c r="AP216" s="34" t="s">
        <v>860</v>
      </c>
      <c r="AQ216" s="26" t="s">
        <v>866</v>
      </c>
    </row>
    <row r="217" spans="1:43" ht="12.75">
      <c r="A217" s="4" t="s">
        <v>87</v>
      </c>
      <c r="B217" s="4" t="s">
        <v>200</v>
      </c>
      <c r="C217" s="4" t="s">
        <v>280</v>
      </c>
      <c r="D217" s="4" t="s">
        <v>604</v>
      </c>
      <c r="E217" s="4" t="s">
        <v>781</v>
      </c>
      <c r="F217" s="17">
        <v>3</v>
      </c>
      <c r="G217" s="17"/>
      <c r="H217" s="17">
        <f t="shared" si="10"/>
        <v>0</v>
      </c>
      <c r="I217" s="17">
        <f t="shared" si="11"/>
        <v>0</v>
      </c>
      <c r="J217" s="17">
        <f t="shared" si="12"/>
        <v>0</v>
      </c>
      <c r="K217" s="17">
        <v>0.08238</v>
      </c>
      <c r="L217" s="17">
        <f t="shared" si="13"/>
        <v>0.24713999999999997</v>
      </c>
      <c r="M217" s="29" t="s">
        <v>804</v>
      </c>
      <c r="N217" s="29" t="s">
        <v>7</v>
      </c>
      <c r="O217" s="17">
        <f t="shared" si="14"/>
        <v>0</v>
      </c>
      <c r="Z217" s="17">
        <f t="shared" si="15"/>
        <v>0</v>
      </c>
      <c r="AA217" s="17">
        <f t="shared" si="16"/>
        <v>0</v>
      </c>
      <c r="AB217" s="17">
        <f t="shared" si="17"/>
        <v>0</v>
      </c>
      <c r="AD217" s="33">
        <v>21</v>
      </c>
      <c r="AE217" s="33">
        <f>G217*0.966231833910035</f>
        <v>0</v>
      </c>
      <c r="AF217" s="33">
        <f>G217*(1-0.966231833910035)</f>
        <v>0</v>
      </c>
      <c r="AM217" s="33">
        <f t="shared" si="18"/>
        <v>0</v>
      </c>
      <c r="AN217" s="33">
        <f t="shared" si="19"/>
        <v>0</v>
      </c>
      <c r="AO217" s="34" t="s">
        <v>835</v>
      </c>
      <c r="AP217" s="34" t="s">
        <v>860</v>
      </c>
      <c r="AQ217" s="26" t="s">
        <v>866</v>
      </c>
    </row>
    <row r="218" spans="1:43" ht="12.75">
      <c r="A218" s="4" t="s">
        <v>88</v>
      </c>
      <c r="B218" s="4" t="s">
        <v>200</v>
      </c>
      <c r="C218" s="4" t="s">
        <v>281</v>
      </c>
      <c r="D218" s="4" t="s">
        <v>605</v>
      </c>
      <c r="E218" s="4" t="s">
        <v>781</v>
      </c>
      <c r="F218" s="17">
        <v>1</v>
      </c>
      <c r="G218" s="17"/>
      <c r="H218" s="17">
        <f t="shared" si="10"/>
        <v>0</v>
      </c>
      <c r="I218" s="17">
        <f t="shared" si="11"/>
        <v>0</v>
      </c>
      <c r="J218" s="17">
        <f t="shared" si="12"/>
        <v>0</v>
      </c>
      <c r="K218" s="17">
        <v>0.00065</v>
      </c>
      <c r="L218" s="17">
        <f t="shared" si="13"/>
        <v>0.00065</v>
      </c>
      <c r="M218" s="29" t="s">
        <v>804</v>
      </c>
      <c r="N218" s="29" t="s">
        <v>7</v>
      </c>
      <c r="O218" s="17">
        <f t="shared" si="14"/>
        <v>0</v>
      </c>
      <c r="Z218" s="17">
        <f t="shared" si="15"/>
        <v>0</v>
      </c>
      <c r="AA218" s="17">
        <f t="shared" si="16"/>
        <v>0</v>
      </c>
      <c r="AB218" s="17">
        <f t="shared" si="17"/>
        <v>0</v>
      </c>
      <c r="AD218" s="33">
        <v>21</v>
      </c>
      <c r="AE218" s="33">
        <f>G218*0.0384201849329797</f>
        <v>0</v>
      </c>
      <c r="AF218" s="33">
        <f>G218*(1-0.0384201849329797)</f>
        <v>0</v>
      </c>
      <c r="AM218" s="33">
        <f t="shared" si="18"/>
        <v>0</v>
      </c>
      <c r="AN218" s="33">
        <f t="shared" si="19"/>
        <v>0</v>
      </c>
      <c r="AO218" s="34" t="s">
        <v>835</v>
      </c>
      <c r="AP218" s="34" t="s">
        <v>860</v>
      </c>
      <c r="AQ218" s="26" t="s">
        <v>866</v>
      </c>
    </row>
    <row r="219" spans="1:43" ht="12.75">
      <c r="A219" s="4" t="s">
        <v>89</v>
      </c>
      <c r="B219" s="4" t="s">
        <v>200</v>
      </c>
      <c r="C219" s="4" t="s">
        <v>282</v>
      </c>
      <c r="D219" s="4" t="s">
        <v>606</v>
      </c>
      <c r="E219" s="4" t="s">
        <v>777</v>
      </c>
      <c r="F219" s="17">
        <v>2</v>
      </c>
      <c r="G219" s="17"/>
      <c r="H219" s="17">
        <f t="shared" si="10"/>
        <v>0</v>
      </c>
      <c r="I219" s="17">
        <f t="shared" si="11"/>
        <v>0</v>
      </c>
      <c r="J219" s="17">
        <f t="shared" si="12"/>
        <v>0</v>
      </c>
      <c r="K219" s="17">
        <v>0.00038</v>
      </c>
      <c r="L219" s="17">
        <f t="shared" si="13"/>
        <v>0.00076</v>
      </c>
      <c r="M219" s="29" t="s">
        <v>804</v>
      </c>
      <c r="N219" s="29" t="s">
        <v>7</v>
      </c>
      <c r="O219" s="17">
        <f t="shared" si="14"/>
        <v>0</v>
      </c>
      <c r="Z219" s="17">
        <f t="shared" si="15"/>
        <v>0</v>
      </c>
      <c r="AA219" s="17">
        <f t="shared" si="16"/>
        <v>0</v>
      </c>
      <c r="AB219" s="17">
        <f t="shared" si="17"/>
        <v>0</v>
      </c>
      <c r="AD219" s="33">
        <v>21</v>
      </c>
      <c r="AE219" s="33">
        <f>G219*0.376706586826347</f>
        <v>0</v>
      </c>
      <c r="AF219" s="33">
        <f>G219*(1-0.376706586826347)</f>
        <v>0</v>
      </c>
      <c r="AM219" s="33">
        <f t="shared" si="18"/>
        <v>0</v>
      </c>
      <c r="AN219" s="33">
        <f t="shared" si="19"/>
        <v>0</v>
      </c>
      <c r="AO219" s="34" t="s">
        <v>835</v>
      </c>
      <c r="AP219" s="34" t="s">
        <v>860</v>
      </c>
      <c r="AQ219" s="26" t="s">
        <v>866</v>
      </c>
    </row>
    <row r="220" spans="1:43" ht="12.75">
      <c r="A220" s="4" t="s">
        <v>90</v>
      </c>
      <c r="B220" s="4" t="s">
        <v>200</v>
      </c>
      <c r="C220" s="4" t="s">
        <v>283</v>
      </c>
      <c r="D220" s="4" t="s">
        <v>607</v>
      </c>
      <c r="E220" s="4" t="s">
        <v>781</v>
      </c>
      <c r="F220" s="17">
        <v>2</v>
      </c>
      <c r="G220" s="17"/>
      <c r="H220" s="17">
        <f t="shared" si="10"/>
        <v>0</v>
      </c>
      <c r="I220" s="17">
        <f t="shared" si="11"/>
        <v>0</v>
      </c>
      <c r="J220" s="17">
        <f t="shared" si="12"/>
        <v>0</v>
      </c>
      <c r="K220" s="17">
        <v>0.02517</v>
      </c>
      <c r="L220" s="17">
        <f t="shared" si="13"/>
        <v>0.05034</v>
      </c>
      <c r="M220" s="29" t="s">
        <v>804</v>
      </c>
      <c r="N220" s="29" t="s">
        <v>7</v>
      </c>
      <c r="O220" s="17">
        <f t="shared" si="14"/>
        <v>0</v>
      </c>
      <c r="Z220" s="17">
        <f t="shared" si="15"/>
        <v>0</v>
      </c>
      <c r="AA220" s="17">
        <f t="shared" si="16"/>
        <v>0</v>
      </c>
      <c r="AB220" s="17">
        <f t="shared" si="17"/>
        <v>0</v>
      </c>
      <c r="AD220" s="33">
        <v>21</v>
      </c>
      <c r="AE220" s="33">
        <f>G220*0</f>
        <v>0</v>
      </c>
      <c r="AF220" s="33">
        <f>G220*(1-0)</f>
        <v>0</v>
      </c>
      <c r="AM220" s="33">
        <f t="shared" si="18"/>
        <v>0</v>
      </c>
      <c r="AN220" s="33">
        <f t="shared" si="19"/>
        <v>0</v>
      </c>
      <c r="AO220" s="34" t="s">
        <v>835</v>
      </c>
      <c r="AP220" s="34" t="s">
        <v>860</v>
      </c>
      <c r="AQ220" s="26" t="s">
        <v>866</v>
      </c>
    </row>
    <row r="221" spans="1:43" ht="12.75">
      <c r="A221" s="4" t="s">
        <v>91</v>
      </c>
      <c r="B221" s="4" t="s">
        <v>200</v>
      </c>
      <c r="C221" s="4" t="s">
        <v>284</v>
      </c>
      <c r="D221" s="4" t="s">
        <v>608</v>
      </c>
      <c r="E221" s="4" t="s">
        <v>781</v>
      </c>
      <c r="F221" s="17">
        <v>2</v>
      </c>
      <c r="G221" s="17"/>
      <c r="H221" s="17">
        <f t="shared" si="10"/>
        <v>0</v>
      </c>
      <c r="I221" s="17">
        <f t="shared" si="11"/>
        <v>0</v>
      </c>
      <c r="J221" s="17">
        <f t="shared" si="12"/>
        <v>0</v>
      </c>
      <c r="K221" s="17">
        <v>0.0758</v>
      </c>
      <c r="L221" s="17">
        <f t="shared" si="13"/>
        <v>0.1516</v>
      </c>
      <c r="M221" s="29" t="s">
        <v>804</v>
      </c>
      <c r="N221" s="29" t="s">
        <v>7</v>
      </c>
      <c r="O221" s="17">
        <f t="shared" si="14"/>
        <v>0</v>
      </c>
      <c r="Z221" s="17">
        <f t="shared" si="15"/>
        <v>0</v>
      </c>
      <c r="AA221" s="17">
        <f t="shared" si="16"/>
        <v>0</v>
      </c>
      <c r="AB221" s="17">
        <f t="shared" si="17"/>
        <v>0</v>
      </c>
      <c r="AD221" s="33">
        <v>21</v>
      </c>
      <c r="AE221" s="33">
        <f>G221*0.800429447852761</f>
        <v>0</v>
      </c>
      <c r="AF221" s="33">
        <f>G221*(1-0.800429447852761)</f>
        <v>0</v>
      </c>
      <c r="AM221" s="33">
        <f t="shared" si="18"/>
        <v>0</v>
      </c>
      <c r="AN221" s="33">
        <f t="shared" si="19"/>
        <v>0</v>
      </c>
      <c r="AO221" s="34" t="s">
        <v>835</v>
      </c>
      <c r="AP221" s="34" t="s">
        <v>860</v>
      </c>
      <c r="AQ221" s="26" t="s">
        <v>866</v>
      </c>
    </row>
    <row r="222" spans="1:37" ht="12.75">
      <c r="A222" s="3"/>
      <c r="B222" s="11" t="s">
        <v>200</v>
      </c>
      <c r="C222" s="11" t="s">
        <v>285</v>
      </c>
      <c r="D222" s="79" t="s">
        <v>609</v>
      </c>
      <c r="E222" s="80"/>
      <c r="F222" s="80"/>
      <c r="G222" s="80"/>
      <c r="H222" s="35">
        <f>SUM(H223:H231)</f>
        <v>0</v>
      </c>
      <c r="I222" s="35">
        <f>SUM(I223:I231)</f>
        <v>0</v>
      </c>
      <c r="J222" s="35">
        <f>H222+I222</f>
        <v>0</v>
      </c>
      <c r="K222" s="26"/>
      <c r="L222" s="35">
        <f>SUM(L223:L231)</f>
        <v>0.33195</v>
      </c>
      <c r="M222" s="26"/>
      <c r="P222" s="35">
        <f>IF(Q222="PR",J222,SUM(O223:O231))</f>
        <v>0</v>
      </c>
      <c r="Q222" s="26" t="s">
        <v>809</v>
      </c>
      <c r="R222" s="35">
        <f>IF(Q222="HS",H222,0)</f>
        <v>0</v>
      </c>
      <c r="S222" s="35">
        <f>IF(Q222="HS",I222-P222,0)</f>
        <v>0</v>
      </c>
      <c r="T222" s="35">
        <f>IF(Q222="PS",H222,0)</f>
        <v>0</v>
      </c>
      <c r="U222" s="35">
        <f>IF(Q222="PS",I222-P222,0)</f>
        <v>0</v>
      </c>
      <c r="V222" s="35">
        <f>IF(Q222="MP",H222,0)</f>
        <v>0</v>
      </c>
      <c r="W222" s="35">
        <f>IF(Q222="MP",I222-P222,0)</f>
        <v>0</v>
      </c>
      <c r="X222" s="35">
        <f>IF(Q222="OM",H222,0)</f>
        <v>0</v>
      </c>
      <c r="Y222" s="26" t="s">
        <v>200</v>
      </c>
      <c r="AI222" s="35">
        <f>SUM(Z223:Z231)</f>
        <v>0</v>
      </c>
      <c r="AJ222" s="35">
        <f>SUM(AA223:AA231)</f>
        <v>0</v>
      </c>
      <c r="AK222" s="35">
        <f>SUM(AB223:AB231)</f>
        <v>0</v>
      </c>
    </row>
    <row r="223" spans="1:43" ht="12.75">
      <c r="A223" s="4" t="s">
        <v>92</v>
      </c>
      <c r="B223" s="4" t="s">
        <v>200</v>
      </c>
      <c r="C223" s="4" t="s">
        <v>286</v>
      </c>
      <c r="D223" s="4" t="s">
        <v>610</v>
      </c>
      <c r="E223" s="4" t="s">
        <v>782</v>
      </c>
      <c r="F223" s="17">
        <v>1</v>
      </c>
      <c r="G223" s="17"/>
      <c r="H223" s="17">
        <f>F223*AE223</f>
        <v>0</v>
      </c>
      <c r="I223" s="17">
        <f>J223-H223</f>
        <v>0</v>
      </c>
      <c r="J223" s="17">
        <f>F223*G223</f>
        <v>0</v>
      </c>
      <c r="K223" s="17">
        <v>0.06495</v>
      </c>
      <c r="L223" s="17">
        <f>F223*K223</f>
        <v>0.06495</v>
      </c>
      <c r="M223" s="29"/>
      <c r="N223" s="29" t="s">
        <v>7</v>
      </c>
      <c r="O223" s="17">
        <f>IF(N223="5",I223,0)</f>
        <v>0</v>
      </c>
      <c r="Z223" s="17">
        <f>IF(AD223=0,J223,0)</f>
        <v>0</v>
      </c>
      <c r="AA223" s="17">
        <f>IF(AD223=15,J223,0)</f>
        <v>0</v>
      </c>
      <c r="AB223" s="17">
        <f>IF(AD223=21,J223,0)</f>
        <v>0</v>
      </c>
      <c r="AD223" s="33">
        <v>21</v>
      </c>
      <c r="AE223" s="33">
        <f>G223*0.905336666666667</f>
        <v>0</v>
      </c>
      <c r="AF223" s="33">
        <f>G223*(1-0.905336666666667)</f>
        <v>0</v>
      </c>
      <c r="AM223" s="33">
        <f>F223*AE223</f>
        <v>0</v>
      </c>
      <c r="AN223" s="33">
        <f>F223*AF223</f>
        <v>0</v>
      </c>
      <c r="AO223" s="34" t="s">
        <v>836</v>
      </c>
      <c r="AP223" s="34" t="s">
        <v>860</v>
      </c>
      <c r="AQ223" s="26" t="s">
        <v>866</v>
      </c>
    </row>
    <row r="224" spans="1:43" ht="12.75">
      <c r="A224" s="4" t="s">
        <v>93</v>
      </c>
      <c r="B224" s="4" t="s">
        <v>200</v>
      </c>
      <c r="C224" s="4" t="s">
        <v>287</v>
      </c>
      <c r="D224" s="4" t="s">
        <v>611</v>
      </c>
      <c r="E224" s="4" t="s">
        <v>781</v>
      </c>
      <c r="F224" s="17">
        <v>2</v>
      </c>
      <c r="G224" s="17"/>
      <c r="H224" s="17">
        <f>F224*AE224</f>
        <v>0</v>
      </c>
      <c r="I224" s="17">
        <f>J224-H224</f>
        <v>0</v>
      </c>
      <c r="J224" s="17">
        <f>F224*G224</f>
        <v>0</v>
      </c>
      <c r="K224" s="17">
        <v>0.04</v>
      </c>
      <c r="L224" s="17">
        <f>F224*K224</f>
        <v>0.08</v>
      </c>
      <c r="M224" s="29"/>
      <c r="N224" s="29" t="s">
        <v>7</v>
      </c>
      <c r="O224" s="17">
        <f>IF(N224="5",I224,0)</f>
        <v>0</v>
      </c>
      <c r="Z224" s="17">
        <f>IF(AD224=0,J224,0)</f>
        <v>0</v>
      </c>
      <c r="AA224" s="17">
        <f>IF(AD224=15,J224,0)</f>
        <v>0</v>
      </c>
      <c r="AB224" s="17">
        <f>IF(AD224=21,J224,0)</f>
        <v>0</v>
      </c>
      <c r="AD224" s="33">
        <v>21</v>
      </c>
      <c r="AE224" s="33">
        <f>G224*0.9053365</f>
        <v>0</v>
      </c>
      <c r="AF224" s="33">
        <f>G224*(1-0.9053365)</f>
        <v>0</v>
      </c>
      <c r="AM224" s="33">
        <f>F224*AE224</f>
        <v>0</v>
      </c>
      <c r="AN224" s="33">
        <f>F224*AF224</f>
        <v>0</v>
      </c>
      <c r="AO224" s="34" t="s">
        <v>836</v>
      </c>
      <c r="AP224" s="34" t="s">
        <v>860</v>
      </c>
      <c r="AQ224" s="26" t="s">
        <v>866</v>
      </c>
    </row>
    <row r="225" spans="1:43" ht="12.75">
      <c r="A225" s="4" t="s">
        <v>94</v>
      </c>
      <c r="B225" s="4" t="s">
        <v>200</v>
      </c>
      <c r="C225" s="4" t="s">
        <v>288</v>
      </c>
      <c r="D225" s="4" t="s">
        <v>612</v>
      </c>
      <c r="E225" s="4" t="s">
        <v>781</v>
      </c>
      <c r="F225" s="17">
        <v>2</v>
      </c>
      <c r="G225" s="17"/>
      <c r="H225" s="17">
        <f>F225*AE225</f>
        <v>0</v>
      </c>
      <c r="I225" s="17">
        <f>J225-H225</f>
        <v>0</v>
      </c>
      <c r="J225" s="17">
        <f>F225*G225</f>
        <v>0</v>
      </c>
      <c r="K225" s="17">
        <v>0.025</v>
      </c>
      <c r="L225" s="17">
        <f>F225*K225</f>
        <v>0.05</v>
      </c>
      <c r="M225" s="29"/>
      <c r="N225" s="29" t="s">
        <v>7</v>
      </c>
      <c r="O225" s="17">
        <f>IF(N225="5",I225,0)</f>
        <v>0</v>
      </c>
      <c r="Z225" s="17">
        <f>IF(AD225=0,J225,0)</f>
        <v>0</v>
      </c>
      <c r="AA225" s="17">
        <f>IF(AD225=15,J225,0)</f>
        <v>0</v>
      </c>
      <c r="AB225" s="17">
        <f>IF(AD225=21,J225,0)</f>
        <v>0</v>
      </c>
      <c r="AD225" s="33">
        <v>21</v>
      </c>
      <c r="AE225" s="33">
        <f>G225*0.905335555555555</f>
        <v>0</v>
      </c>
      <c r="AF225" s="33">
        <f>G225*(1-0.905335555555555)</f>
        <v>0</v>
      </c>
      <c r="AM225" s="33">
        <f>F225*AE225</f>
        <v>0</v>
      </c>
      <c r="AN225" s="33">
        <f>F225*AF225</f>
        <v>0</v>
      </c>
      <c r="AO225" s="34" t="s">
        <v>836</v>
      </c>
      <c r="AP225" s="34" t="s">
        <v>860</v>
      </c>
      <c r="AQ225" s="26" t="s">
        <v>866</v>
      </c>
    </row>
    <row r="226" spans="1:43" ht="12.75">
      <c r="A226" s="4" t="s">
        <v>95</v>
      </c>
      <c r="B226" s="4" t="s">
        <v>200</v>
      </c>
      <c r="C226" s="4" t="s">
        <v>289</v>
      </c>
      <c r="D226" s="4" t="s">
        <v>613</v>
      </c>
      <c r="E226" s="4" t="s">
        <v>781</v>
      </c>
      <c r="F226" s="17">
        <v>2</v>
      </c>
      <c r="G226" s="17"/>
      <c r="H226" s="17">
        <f>F226*AE226</f>
        <v>0</v>
      </c>
      <c r="I226" s="17">
        <f>J226-H226</f>
        <v>0</v>
      </c>
      <c r="J226" s="17">
        <f>F226*G226</f>
        <v>0</v>
      </c>
      <c r="K226" s="17">
        <v>0.009</v>
      </c>
      <c r="L226" s="17">
        <f>F226*K226</f>
        <v>0.018</v>
      </c>
      <c r="M226" s="29"/>
      <c r="N226" s="29" t="s">
        <v>7</v>
      </c>
      <c r="O226" s="17">
        <f>IF(N226="5",I226,0)</f>
        <v>0</v>
      </c>
      <c r="Z226" s="17">
        <f>IF(AD226=0,J226,0)</f>
        <v>0</v>
      </c>
      <c r="AA226" s="17">
        <f>IF(AD226=15,J226,0)</f>
        <v>0</v>
      </c>
      <c r="AB226" s="17">
        <f>IF(AD226=21,J226,0)</f>
        <v>0</v>
      </c>
      <c r="AD226" s="33">
        <v>21</v>
      </c>
      <c r="AE226" s="33">
        <f>G226*0.905338028169014</f>
        <v>0</v>
      </c>
      <c r="AF226" s="33">
        <f>G226*(1-0.905338028169014)</f>
        <v>0</v>
      </c>
      <c r="AM226" s="33">
        <f>F226*AE226</f>
        <v>0</v>
      </c>
      <c r="AN226" s="33">
        <f>F226*AF226</f>
        <v>0</v>
      </c>
      <c r="AO226" s="34" t="s">
        <v>836</v>
      </c>
      <c r="AP226" s="34" t="s">
        <v>860</v>
      </c>
      <c r="AQ226" s="26" t="s">
        <v>866</v>
      </c>
    </row>
    <row r="227" spans="1:43" ht="12.75">
      <c r="A227" s="4" t="s">
        <v>96</v>
      </c>
      <c r="B227" s="4" t="s">
        <v>200</v>
      </c>
      <c r="C227" s="4" t="s">
        <v>290</v>
      </c>
      <c r="D227" s="4" t="s">
        <v>614</v>
      </c>
      <c r="E227" s="4" t="s">
        <v>781</v>
      </c>
      <c r="F227" s="17">
        <v>1</v>
      </c>
      <c r="G227" s="17"/>
      <c r="H227" s="17">
        <f>F227*AE227</f>
        <v>0</v>
      </c>
      <c r="I227" s="17">
        <f>J227-H227</f>
        <v>0</v>
      </c>
      <c r="J227" s="17">
        <f>F227*G227</f>
        <v>0</v>
      </c>
      <c r="K227" s="17">
        <v>0.009</v>
      </c>
      <c r="L227" s="17">
        <f>F227*K227</f>
        <v>0.009</v>
      </c>
      <c r="M227" s="29"/>
      <c r="N227" s="29" t="s">
        <v>7</v>
      </c>
      <c r="O227" s="17">
        <f>IF(N227="5",I227,0)</f>
        <v>0</v>
      </c>
      <c r="Z227" s="17">
        <f>IF(AD227=0,J227,0)</f>
        <v>0</v>
      </c>
      <c r="AA227" s="17">
        <f>IF(AD227=15,J227,0)</f>
        <v>0</v>
      </c>
      <c r="AB227" s="17">
        <f>IF(AD227=21,J227,0)</f>
        <v>0</v>
      </c>
      <c r="AD227" s="33">
        <v>21</v>
      </c>
      <c r="AE227" s="33">
        <f>G227*0.905338</f>
        <v>0</v>
      </c>
      <c r="AF227" s="33">
        <f>G227*(1-0.905338)</f>
        <v>0</v>
      </c>
      <c r="AM227" s="33">
        <f>F227*AE227</f>
        <v>0</v>
      </c>
      <c r="AN227" s="33">
        <f>F227*AF227</f>
        <v>0</v>
      </c>
      <c r="AO227" s="34" t="s">
        <v>836</v>
      </c>
      <c r="AP227" s="34" t="s">
        <v>860</v>
      </c>
      <c r="AQ227" s="26" t="s">
        <v>866</v>
      </c>
    </row>
    <row r="228" spans="4:6" ht="12.75">
      <c r="D228" s="13" t="s">
        <v>615</v>
      </c>
      <c r="F228" s="18">
        <v>0</v>
      </c>
    </row>
    <row r="229" spans="1:43" ht="12.75">
      <c r="A229" s="4" t="s">
        <v>97</v>
      </c>
      <c r="B229" s="4" t="s">
        <v>200</v>
      </c>
      <c r="C229" s="4" t="s">
        <v>291</v>
      </c>
      <c r="D229" s="4" t="s">
        <v>616</v>
      </c>
      <c r="E229" s="4" t="s">
        <v>781</v>
      </c>
      <c r="F229" s="17">
        <v>1</v>
      </c>
      <c r="G229" s="17"/>
      <c r="H229" s="17">
        <f>F229*AE229</f>
        <v>0</v>
      </c>
      <c r="I229" s="17">
        <f>J229-H229</f>
        <v>0</v>
      </c>
      <c r="J229" s="17">
        <f>F229*G229</f>
        <v>0</v>
      </c>
      <c r="K229" s="17">
        <v>0.009</v>
      </c>
      <c r="L229" s="17">
        <f>F229*K229</f>
        <v>0.009</v>
      </c>
      <c r="M229" s="29"/>
      <c r="N229" s="29" t="s">
        <v>7</v>
      </c>
      <c r="O229" s="17">
        <f>IF(N229="5",I229,0)</f>
        <v>0</v>
      </c>
      <c r="Z229" s="17">
        <f>IF(AD229=0,J229,0)</f>
        <v>0</v>
      </c>
      <c r="AA229" s="17">
        <f>IF(AD229=15,J229,0)</f>
        <v>0</v>
      </c>
      <c r="AB229" s="17">
        <f>IF(AD229=21,J229,0)</f>
        <v>0</v>
      </c>
      <c r="AD229" s="33">
        <v>21</v>
      </c>
      <c r="AE229" s="33">
        <f>G229*0.905336923076923</f>
        <v>0</v>
      </c>
      <c r="AF229" s="33">
        <f>G229*(1-0.905336923076923)</f>
        <v>0</v>
      </c>
      <c r="AM229" s="33">
        <f>F229*AE229</f>
        <v>0</v>
      </c>
      <c r="AN229" s="33">
        <f>F229*AF229</f>
        <v>0</v>
      </c>
      <c r="AO229" s="34" t="s">
        <v>836</v>
      </c>
      <c r="AP229" s="34" t="s">
        <v>860</v>
      </c>
      <c r="AQ229" s="26" t="s">
        <v>866</v>
      </c>
    </row>
    <row r="230" spans="1:43" ht="12.75">
      <c r="A230" s="4" t="s">
        <v>98</v>
      </c>
      <c r="B230" s="4" t="s">
        <v>200</v>
      </c>
      <c r="C230" s="4" t="s">
        <v>292</v>
      </c>
      <c r="D230" s="4" t="s">
        <v>617</v>
      </c>
      <c r="E230" s="4" t="s">
        <v>781</v>
      </c>
      <c r="F230" s="17">
        <v>1</v>
      </c>
      <c r="G230" s="17"/>
      <c r="H230" s="17">
        <f>F230*AE230</f>
        <v>0</v>
      </c>
      <c r="I230" s="17">
        <f>J230-H230</f>
        <v>0</v>
      </c>
      <c r="J230" s="17">
        <f>F230*G230</f>
        <v>0</v>
      </c>
      <c r="K230" s="17">
        <v>0.092</v>
      </c>
      <c r="L230" s="17">
        <f>F230*K230</f>
        <v>0.092</v>
      </c>
      <c r="M230" s="29"/>
      <c r="N230" s="29" t="s">
        <v>7</v>
      </c>
      <c r="O230" s="17">
        <f>IF(N230="5",I230,0)</f>
        <v>0</v>
      </c>
      <c r="Z230" s="17">
        <f>IF(AD230=0,J230,0)</f>
        <v>0</v>
      </c>
      <c r="AA230" s="17">
        <f>IF(AD230=15,J230,0)</f>
        <v>0</v>
      </c>
      <c r="AB230" s="17">
        <f>IF(AD230=21,J230,0)</f>
        <v>0</v>
      </c>
      <c r="AD230" s="33">
        <v>21</v>
      </c>
      <c r="AE230" s="33">
        <f>G230*0.09415</f>
        <v>0</v>
      </c>
      <c r="AF230" s="33">
        <f>G230*(1-0.09415)</f>
        <v>0</v>
      </c>
      <c r="AM230" s="33">
        <f>F230*AE230</f>
        <v>0</v>
      </c>
      <c r="AN230" s="33">
        <f>F230*AF230</f>
        <v>0</v>
      </c>
      <c r="AO230" s="34" t="s">
        <v>836</v>
      </c>
      <c r="AP230" s="34" t="s">
        <v>860</v>
      </c>
      <c r="AQ230" s="26" t="s">
        <v>866</v>
      </c>
    </row>
    <row r="231" spans="1:43" ht="12.75">
      <c r="A231" s="4" t="s">
        <v>99</v>
      </c>
      <c r="B231" s="4" t="s">
        <v>200</v>
      </c>
      <c r="C231" s="4" t="s">
        <v>293</v>
      </c>
      <c r="D231" s="4" t="s">
        <v>618</v>
      </c>
      <c r="E231" s="4" t="s">
        <v>781</v>
      </c>
      <c r="F231" s="17">
        <v>1</v>
      </c>
      <c r="G231" s="17"/>
      <c r="H231" s="17">
        <f>F231*AE231</f>
        <v>0</v>
      </c>
      <c r="I231" s="17">
        <f>J231-H231</f>
        <v>0</v>
      </c>
      <c r="J231" s="17">
        <f>F231*G231</f>
        <v>0</v>
      </c>
      <c r="K231" s="17">
        <v>0.009</v>
      </c>
      <c r="L231" s="17">
        <f>F231*K231</f>
        <v>0.009</v>
      </c>
      <c r="M231" s="29"/>
      <c r="N231" s="29" t="s">
        <v>7</v>
      </c>
      <c r="O231" s="17">
        <f>IF(N231="5",I231,0)</f>
        <v>0</v>
      </c>
      <c r="Z231" s="17">
        <f>IF(AD231=0,J231,0)</f>
        <v>0</v>
      </c>
      <c r="AA231" s="17">
        <f>IF(AD231=15,J231,0)</f>
        <v>0</v>
      </c>
      <c r="AB231" s="17">
        <f>IF(AD231=21,J231,0)</f>
        <v>0</v>
      </c>
      <c r="AD231" s="33">
        <v>21</v>
      </c>
      <c r="AE231" s="33">
        <f>G231*0.9053375</f>
        <v>0</v>
      </c>
      <c r="AF231" s="33">
        <f>G231*(1-0.9053375)</f>
        <v>0</v>
      </c>
      <c r="AM231" s="33">
        <f>F231*AE231</f>
        <v>0</v>
      </c>
      <c r="AN231" s="33">
        <f>F231*AF231</f>
        <v>0</v>
      </c>
      <c r="AO231" s="34" t="s">
        <v>836</v>
      </c>
      <c r="AP231" s="34" t="s">
        <v>860</v>
      </c>
      <c r="AQ231" s="26" t="s">
        <v>866</v>
      </c>
    </row>
    <row r="232" spans="1:37" ht="12.75">
      <c r="A232" s="3"/>
      <c r="B232" s="11" t="s">
        <v>200</v>
      </c>
      <c r="C232" s="11" t="s">
        <v>294</v>
      </c>
      <c r="D232" s="79" t="s">
        <v>619</v>
      </c>
      <c r="E232" s="80"/>
      <c r="F232" s="80"/>
      <c r="G232" s="80"/>
      <c r="H232" s="35">
        <f>SUM(H233:H234)</f>
        <v>0</v>
      </c>
      <c r="I232" s="35">
        <f>SUM(I233:I234)</f>
        <v>0</v>
      </c>
      <c r="J232" s="35">
        <f>H232+I232</f>
        <v>0</v>
      </c>
      <c r="K232" s="26"/>
      <c r="L232" s="35">
        <f>SUM(L233:L234)</f>
        <v>0.02119</v>
      </c>
      <c r="M232" s="26"/>
      <c r="P232" s="35">
        <f>IF(Q232="PR",J232,SUM(O233:O234))</f>
        <v>0</v>
      </c>
      <c r="Q232" s="26" t="s">
        <v>809</v>
      </c>
      <c r="R232" s="35">
        <f>IF(Q232="HS",H232,0)</f>
        <v>0</v>
      </c>
      <c r="S232" s="35">
        <f>IF(Q232="HS",I232-P232,0)</f>
        <v>0</v>
      </c>
      <c r="T232" s="35">
        <f>IF(Q232="PS",H232,0)</f>
        <v>0</v>
      </c>
      <c r="U232" s="35">
        <f>IF(Q232="PS",I232-P232,0)</f>
        <v>0</v>
      </c>
      <c r="V232" s="35">
        <f>IF(Q232="MP",H232,0)</f>
        <v>0</v>
      </c>
      <c r="W232" s="35">
        <f>IF(Q232="MP",I232-P232,0)</f>
        <v>0</v>
      </c>
      <c r="X232" s="35">
        <f>IF(Q232="OM",H232,0)</f>
        <v>0</v>
      </c>
      <c r="Y232" s="26" t="s">
        <v>200</v>
      </c>
      <c r="AI232" s="35">
        <f>SUM(Z233:Z234)</f>
        <v>0</v>
      </c>
      <c r="AJ232" s="35">
        <f>SUM(AA233:AA234)</f>
        <v>0</v>
      </c>
      <c r="AK232" s="35">
        <f>SUM(AB233:AB234)</f>
        <v>0</v>
      </c>
    </row>
    <row r="233" spans="1:43" ht="12.75">
      <c r="A233" s="4" t="s">
        <v>100</v>
      </c>
      <c r="B233" s="4" t="s">
        <v>200</v>
      </c>
      <c r="C233" s="4" t="s">
        <v>295</v>
      </c>
      <c r="D233" s="4" t="s">
        <v>620</v>
      </c>
      <c r="E233" s="4" t="s">
        <v>782</v>
      </c>
      <c r="F233" s="17">
        <v>1</v>
      </c>
      <c r="G233" s="17"/>
      <c r="H233" s="17">
        <f>F233*AE233</f>
        <v>0</v>
      </c>
      <c r="I233" s="17">
        <f>J233-H233</f>
        <v>0</v>
      </c>
      <c r="J233" s="17">
        <f>F233*G233</f>
        <v>0</v>
      </c>
      <c r="K233" s="17">
        <v>0.01933</v>
      </c>
      <c r="L233" s="17">
        <f>F233*K233</f>
        <v>0.01933</v>
      </c>
      <c r="M233" s="29" t="s">
        <v>804</v>
      </c>
      <c r="N233" s="29" t="s">
        <v>7</v>
      </c>
      <c r="O233" s="17">
        <f>IF(N233="5",I233,0)</f>
        <v>0</v>
      </c>
      <c r="Z233" s="17">
        <f>IF(AD233=0,J233,0)</f>
        <v>0</v>
      </c>
      <c r="AA233" s="17">
        <f>IF(AD233=15,J233,0)</f>
        <v>0</v>
      </c>
      <c r="AB233" s="17">
        <f>IF(AD233=21,J233,0)</f>
        <v>0</v>
      </c>
      <c r="AD233" s="33">
        <v>21</v>
      </c>
      <c r="AE233" s="33">
        <f>G233*0</f>
        <v>0</v>
      </c>
      <c r="AF233" s="33">
        <f>G233*(1-0)</f>
        <v>0</v>
      </c>
      <c r="AM233" s="33">
        <f>F233*AE233</f>
        <v>0</v>
      </c>
      <c r="AN233" s="33">
        <f>F233*AF233</f>
        <v>0</v>
      </c>
      <c r="AO233" s="34" t="s">
        <v>837</v>
      </c>
      <c r="AP233" s="34" t="s">
        <v>860</v>
      </c>
      <c r="AQ233" s="26" t="s">
        <v>866</v>
      </c>
    </row>
    <row r="234" spans="1:43" ht="12.75">
      <c r="A234" s="4" t="s">
        <v>101</v>
      </c>
      <c r="B234" s="4" t="s">
        <v>200</v>
      </c>
      <c r="C234" s="4" t="s">
        <v>296</v>
      </c>
      <c r="D234" s="4" t="s">
        <v>621</v>
      </c>
      <c r="E234" s="4" t="s">
        <v>782</v>
      </c>
      <c r="F234" s="17">
        <v>1</v>
      </c>
      <c r="G234" s="17"/>
      <c r="H234" s="17">
        <f>F234*AE234</f>
        <v>0</v>
      </c>
      <c r="I234" s="17">
        <f>J234-H234</f>
        <v>0</v>
      </c>
      <c r="J234" s="17">
        <f>F234*G234</f>
        <v>0</v>
      </c>
      <c r="K234" s="17">
        <v>0.00186</v>
      </c>
      <c r="L234" s="17">
        <f>F234*K234</f>
        <v>0.00186</v>
      </c>
      <c r="M234" s="29" t="s">
        <v>804</v>
      </c>
      <c r="N234" s="29" t="s">
        <v>7</v>
      </c>
      <c r="O234" s="17">
        <f>IF(N234="5",I234,0)</f>
        <v>0</v>
      </c>
      <c r="Z234" s="17">
        <f>IF(AD234=0,J234,0)</f>
        <v>0</v>
      </c>
      <c r="AA234" s="17">
        <f>IF(AD234=15,J234,0)</f>
        <v>0</v>
      </c>
      <c r="AB234" s="17">
        <f>IF(AD234=21,J234,0)</f>
        <v>0</v>
      </c>
      <c r="AD234" s="33">
        <v>21</v>
      </c>
      <c r="AE234" s="33">
        <f>G234*0.451403286978508</f>
        <v>0</v>
      </c>
      <c r="AF234" s="33">
        <f>G234*(1-0.451403286978508)</f>
        <v>0</v>
      </c>
      <c r="AM234" s="33">
        <f>F234*AE234</f>
        <v>0</v>
      </c>
      <c r="AN234" s="33">
        <f>F234*AF234</f>
        <v>0</v>
      </c>
      <c r="AO234" s="34" t="s">
        <v>837</v>
      </c>
      <c r="AP234" s="34" t="s">
        <v>860</v>
      </c>
      <c r="AQ234" s="26" t="s">
        <v>866</v>
      </c>
    </row>
    <row r="235" spans="1:37" ht="12.75">
      <c r="A235" s="3"/>
      <c r="B235" s="11" t="s">
        <v>200</v>
      </c>
      <c r="C235" s="11" t="s">
        <v>297</v>
      </c>
      <c r="D235" s="79" t="s">
        <v>622</v>
      </c>
      <c r="E235" s="80"/>
      <c r="F235" s="80"/>
      <c r="G235" s="80"/>
      <c r="H235" s="35">
        <f>SUM(H236:H236)</f>
        <v>0</v>
      </c>
      <c r="I235" s="35">
        <f>SUM(I236:I236)</f>
        <v>0</v>
      </c>
      <c r="J235" s="35">
        <f>H235+I235</f>
        <v>0</v>
      </c>
      <c r="K235" s="26"/>
      <c r="L235" s="35">
        <f>SUM(L236:L236)</f>
        <v>0.03045</v>
      </c>
      <c r="M235" s="26"/>
      <c r="P235" s="35">
        <f>IF(Q235="PR",J235,SUM(O236:O236))</f>
        <v>0</v>
      </c>
      <c r="Q235" s="26" t="s">
        <v>809</v>
      </c>
      <c r="R235" s="35">
        <f>IF(Q235="HS",H235,0)</f>
        <v>0</v>
      </c>
      <c r="S235" s="35">
        <f>IF(Q235="HS",I235-P235,0)</f>
        <v>0</v>
      </c>
      <c r="T235" s="35">
        <f>IF(Q235="PS",H235,0)</f>
        <v>0</v>
      </c>
      <c r="U235" s="35">
        <f>IF(Q235="PS",I235-P235,0)</f>
        <v>0</v>
      </c>
      <c r="V235" s="35">
        <f>IF(Q235="MP",H235,0)</f>
        <v>0</v>
      </c>
      <c r="W235" s="35">
        <f>IF(Q235="MP",I235-P235,0)</f>
        <v>0</v>
      </c>
      <c r="X235" s="35">
        <f>IF(Q235="OM",H235,0)</f>
        <v>0</v>
      </c>
      <c r="Y235" s="26" t="s">
        <v>200</v>
      </c>
      <c r="AI235" s="35">
        <f>SUM(Z236:Z236)</f>
        <v>0</v>
      </c>
      <c r="AJ235" s="35">
        <f>SUM(AA236:AA236)</f>
        <v>0</v>
      </c>
      <c r="AK235" s="35">
        <f>SUM(AB236:AB236)</f>
        <v>0</v>
      </c>
    </row>
    <row r="236" spans="1:43" ht="12.75">
      <c r="A236" s="4" t="s">
        <v>102</v>
      </c>
      <c r="B236" s="4" t="s">
        <v>200</v>
      </c>
      <c r="C236" s="4" t="s">
        <v>298</v>
      </c>
      <c r="D236" s="4" t="s">
        <v>623</v>
      </c>
      <c r="E236" s="4" t="s">
        <v>777</v>
      </c>
      <c r="F236" s="17">
        <v>15</v>
      </c>
      <c r="G236" s="17"/>
      <c r="H236" s="17">
        <f>F236*AE236</f>
        <v>0</v>
      </c>
      <c r="I236" s="17">
        <f>J236-H236</f>
        <v>0</v>
      </c>
      <c r="J236" s="17">
        <f>F236*G236</f>
        <v>0</v>
      </c>
      <c r="K236" s="17">
        <v>0.00203</v>
      </c>
      <c r="L236" s="17">
        <f>F236*K236</f>
        <v>0.03045</v>
      </c>
      <c r="M236" s="29" t="s">
        <v>804</v>
      </c>
      <c r="N236" s="29" t="s">
        <v>7</v>
      </c>
      <c r="O236" s="17">
        <f>IF(N236="5",I236,0)</f>
        <v>0</v>
      </c>
      <c r="Z236" s="17">
        <f>IF(AD236=0,J236,0)</f>
        <v>0</v>
      </c>
      <c r="AA236" s="17">
        <f>IF(AD236=15,J236,0)</f>
        <v>0</v>
      </c>
      <c r="AB236" s="17">
        <f>IF(AD236=21,J236,0)</f>
        <v>0</v>
      </c>
      <c r="AD236" s="33">
        <v>21</v>
      </c>
      <c r="AE236" s="33">
        <f>G236*0.782661290322581</f>
        <v>0</v>
      </c>
      <c r="AF236" s="33">
        <f>G236*(1-0.782661290322581)</f>
        <v>0</v>
      </c>
      <c r="AM236" s="33">
        <f>F236*AE236</f>
        <v>0</v>
      </c>
      <c r="AN236" s="33">
        <f>F236*AF236</f>
        <v>0</v>
      </c>
      <c r="AO236" s="34" t="s">
        <v>838</v>
      </c>
      <c r="AP236" s="34" t="s">
        <v>861</v>
      </c>
      <c r="AQ236" s="26" t="s">
        <v>866</v>
      </c>
    </row>
    <row r="237" spans="1:37" ht="12.75">
      <c r="A237" s="3"/>
      <c r="B237" s="11" t="s">
        <v>200</v>
      </c>
      <c r="C237" s="11" t="s">
        <v>299</v>
      </c>
      <c r="D237" s="79" t="s">
        <v>624</v>
      </c>
      <c r="E237" s="80"/>
      <c r="F237" s="80"/>
      <c r="G237" s="80"/>
      <c r="H237" s="35">
        <f>SUM(H238:H241)</f>
        <v>0</v>
      </c>
      <c r="I237" s="35">
        <f>SUM(I238:I241)</f>
        <v>0</v>
      </c>
      <c r="J237" s="35">
        <f>H237+I237</f>
        <v>0</v>
      </c>
      <c r="K237" s="26"/>
      <c r="L237" s="35">
        <f>SUM(L238:L241)</f>
        <v>0.04263</v>
      </c>
      <c r="M237" s="26"/>
      <c r="P237" s="35">
        <f>IF(Q237="PR",J237,SUM(O238:O241))</f>
        <v>0</v>
      </c>
      <c r="Q237" s="26" t="s">
        <v>809</v>
      </c>
      <c r="R237" s="35">
        <f>IF(Q237="HS",H237,0)</f>
        <v>0</v>
      </c>
      <c r="S237" s="35">
        <f>IF(Q237="HS",I237-P237,0)</f>
        <v>0</v>
      </c>
      <c r="T237" s="35">
        <f>IF(Q237="PS",H237,0)</f>
        <v>0</v>
      </c>
      <c r="U237" s="35">
        <f>IF(Q237="PS",I237-P237,0)</f>
        <v>0</v>
      </c>
      <c r="V237" s="35">
        <f>IF(Q237="MP",H237,0)</f>
        <v>0</v>
      </c>
      <c r="W237" s="35">
        <f>IF(Q237="MP",I237-P237,0)</f>
        <v>0</v>
      </c>
      <c r="X237" s="35">
        <f>IF(Q237="OM",H237,0)</f>
        <v>0</v>
      </c>
      <c r="Y237" s="26" t="s">
        <v>200</v>
      </c>
      <c r="AI237" s="35">
        <f>SUM(Z238:Z241)</f>
        <v>0</v>
      </c>
      <c r="AJ237" s="35">
        <f>SUM(AA238:AA241)</f>
        <v>0</v>
      </c>
      <c r="AK237" s="35">
        <f>SUM(AB238:AB241)</f>
        <v>0</v>
      </c>
    </row>
    <row r="238" spans="1:43" ht="12.75">
      <c r="A238" s="4" t="s">
        <v>103</v>
      </c>
      <c r="B238" s="4" t="s">
        <v>200</v>
      </c>
      <c r="C238" s="4" t="s">
        <v>300</v>
      </c>
      <c r="D238" s="4" t="s">
        <v>625</v>
      </c>
      <c r="E238" s="4" t="s">
        <v>777</v>
      </c>
      <c r="F238" s="17">
        <v>5</v>
      </c>
      <c r="G238" s="17"/>
      <c r="H238" s="17">
        <f>F238*AE238</f>
        <v>0</v>
      </c>
      <c r="I238" s="17">
        <f>J238-H238</f>
        <v>0</v>
      </c>
      <c r="J238" s="17">
        <f>F238*G238</f>
        <v>0</v>
      </c>
      <c r="K238" s="17">
        <v>6E-05</v>
      </c>
      <c r="L238" s="17">
        <f>F238*K238</f>
        <v>0.00030000000000000003</v>
      </c>
      <c r="M238" s="29" t="s">
        <v>804</v>
      </c>
      <c r="N238" s="29" t="s">
        <v>7</v>
      </c>
      <c r="O238" s="17">
        <f>IF(N238="5",I238,0)</f>
        <v>0</v>
      </c>
      <c r="Z238" s="17">
        <f>IF(AD238=0,J238,0)</f>
        <v>0</v>
      </c>
      <c r="AA238" s="17">
        <f>IF(AD238=15,J238,0)</f>
        <v>0</v>
      </c>
      <c r="AB238" s="17">
        <f>IF(AD238=21,J238,0)</f>
        <v>0</v>
      </c>
      <c r="AD238" s="33">
        <v>21</v>
      </c>
      <c r="AE238" s="33">
        <f>G238*0.0332352941176471</f>
        <v>0</v>
      </c>
      <c r="AF238" s="33">
        <f>G238*(1-0.0332352941176471)</f>
        <v>0</v>
      </c>
      <c r="AM238" s="33">
        <f>F238*AE238</f>
        <v>0</v>
      </c>
      <c r="AN238" s="33">
        <f>F238*AF238</f>
        <v>0</v>
      </c>
      <c r="AO238" s="34" t="s">
        <v>839</v>
      </c>
      <c r="AP238" s="34" t="s">
        <v>861</v>
      </c>
      <c r="AQ238" s="26" t="s">
        <v>866</v>
      </c>
    </row>
    <row r="239" spans="1:43" ht="12.75">
      <c r="A239" s="4" t="s">
        <v>104</v>
      </c>
      <c r="B239" s="4" t="s">
        <v>200</v>
      </c>
      <c r="C239" s="4" t="s">
        <v>301</v>
      </c>
      <c r="D239" s="4" t="s">
        <v>626</v>
      </c>
      <c r="E239" s="4" t="s">
        <v>780</v>
      </c>
      <c r="F239" s="17">
        <v>20</v>
      </c>
      <c r="G239" s="17"/>
      <c r="H239" s="17">
        <f>F239*AE239</f>
        <v>0</v>
      </c>
      <c r="I239" s="17">
        <f>J239-H239</f>
        <v>0</v>
      </c>
      <c r="J239" s="17">
        <f>F239*G239</f>
        <v>0</v>
      </c>
      <c r="K239" s="17">
        <v>6E-05</v>
      </c>
      <c r="L239" s="17">
        <f>F239*K239</f>
        <v>0.0012000000000000001</v>
      </c>
      <c r="M239" s="29" t="s">
        <v>804</v>
      </c>
      <c r="N239" s="29" t="s">
        <v>7</v>
      </c>
      <c r="O239" s="17">
        <f>IF(N239="5",I239,0)</f>
        <v>0</v>
      </c>
      <c r="Z239" s="17">
        <f>IF(AD239=0,J239,0)</f>
        <v>0</v>
      </c>
      <c r="AA239" s="17">
        <f>IF(AD239=15,J239,0)</f>
        <v>0</v>
      </c>
      <c r="AB239" s="17">
        <f>IF(AD239=21,J239,0)</f>
        <v>0</v>
      </c>
      <c r="AD239" s="33">
        <v>21</v>
      </c>
      <c r="AE239" s="33">
        <f>G239*0.131057409538422</f>
        <v>0</v>
      </c>
      <c r="AF239" s="33">
        <f>G239*(1-0.131057409538422)</f>
        <v>0</v>
      </c>
      <c r="AM239" s="33">
        <f>F239*AE239</f>
        <v>0</v>
      </c>
      <c r="AN239" s="33">
        <f>F239*AF239</f>
        <v>0</v>
      </c>
      <c r="AO239" s="34" t="s">
        <v>839</v>
      </c>
      <c r="AP239" s="34" t="s">
        <v>861</v>
      </c>
      <c r="AQ239" s="26" t="s">
        <v>866</v>
      </c>
    </row>
    <row r="240" spans="1:43" ht="12.75">
      <c r="A240" s="5" t="s">
        <v>105</v>
      </c>
      <c r="B240" s="5" t="s">
        <v>200</v>
      </c>
      <c r="C240" s="5" t="s">
        <v>302</v>
      </c>
      <c r="D240" s="5" t="s">
        <v>627</v>
      </c>
      <c r="E240" s="5" t="s">
        <v>781</v>
      </c>
      <c r="F240" s="19">
        <v>1</v>
      </c>
      <c r="G240" s="19"/>
      <c r="H240" s="19">
        <f>F240*AE240</f>
        <v>0</v>
      </c>
      <c r="I240" s="19">
        <f>J240-H240</f>
        <v>0</v>
      </c>
      <c r="J240" s="19">
        <f>F240*G240</f>
        <v>0</v>
      </c>
      <c r="K240" s="19">
        <v>0.01163</v>
      </c>
      <c r="L240" s="19">
        <f>F240*K240</f>
        <v>0.01163</v>
      </c>
      <c r="M240" s="30" t="s">
        <v>804</v>
      </c>
      <c r="N240" s="30" t="s">
        <v>805</v>
      </c>
      <c r="O240" s="19">
        <f>IF(N240="5",I240,0)</f>
        <v>0</v>
      </c>
      <c r="Z240" s="19">
        <f>IF(AD240=0,J240,0)</f>
        <v>0</v>
      </c>
      <c r="AA240" s="19">
        <f>IF(AD240=15,J240,0)</f>
        <v>0</v>
      </c>
      <c r="AB240" s="19">
        <f>IF(AD240=21,J240,0)</f>
        <v>0</v>
      </c>
      <c r="AD240" s="33">
        <v>21</v>
      </c>
      <c r="AE240" s="33">
        <f>G240*1</f>
        <v>0</v>
      </c>
      <c r="AF240" s="33">
        <f>G240*(1-1)</f>
        <v>0</v>
      </c>
      <c r="AM240" s="33">
        <f>F240*AE240</f>
        <v>0</v>
      </c>
      <c r="AN240" s="33">
        <f>F240*AF240</f>
        <v>0</v>
      </c>
      <c r="AO240" s="34" t="s">
        <v>839</v>
      </c>
      <c r="AP240" s="34" t="s">
        <v>861</v>
      </c>
      <c r="AQ240" s="26" t="s">
        <v>866</v>
      </c>
    </row>
    <row r="241" spans="1:43" ht="12.75">
      <c r="A241" s="5" t="s">
        <v>106</v>
      </c>
      <c r="B241" s="5" t="s">
        <v>200</v>
      </c>
      <c r="C241" s="5" t="s">
        <v>303</v>
      </c>
      <c r="D241" s="5" t="s">
        <v>628</v>
      </c>
      <c r="E241" s="5" t="s">
        <v>781</v>
      </c>
      <c r="F241" s="19">
        <v>1</v>
      </c>
      <c r="G241" s="19"/>
      <c r="H241" s="19">
        <f>F241*AE241</f>
        <v>0</v>
      </c>
      <c r="I241" s="19">
        <f>J241-H241</f>
        <v>0</v>
      </c>
      <c r="J241" s="19">
        <f>F241*G241</f>
        <v>0</v>
      </c>
      <c r="K241" s="19">
        <v>0.0295</v>
      </c>
      <c r="L241" s="19">
        <f>F241*K241</f>
        <v>0.0295</v>
      </c>
      <c r="M241" s="30" t="s">
        <v>804</v>
      </c>
      <c r="N241" s="30" t="s">
        <v>805</v>
      </c>
      <c r="O241" s="19">
        <f>IF(N241="5",I241,0)</f>
        <v>0</v>
      </c>
      <c r="Z241" s="19">
        <f>IF(AD241=0,J241,0)</f>
        <v>0</v>
      </c>
      <c r="AA241" s="19">
        <f>IF(AD241=15,J241,0)</f>
        <v>0</v>
      </c>
      <c r="AB241" s="19">
        <f>IF(AD241=21,J241,0)</f>
        <v>0</v>
      </c>
      <c r="AD241" s="33">
        <v>21</v>
      </c>
      <c r="AE241" s="33">
        <f>G241*1</f>
        <v>0</v>
      </c>
      <c r="AF241" s="33">
        <f>G241*(1-1)</f>
        <v>0</v>
      </c>
      <c r="AM241" s="33">
        <f>F241*AE241</f>
        <v>0</v>
      </c>
      <c r="AN241" s="33">
        <f>F241*AF241</f>
        <v>0</v>
      </c>
      <c r="AO241" s="34" t="s">
        <v>839</v>
      </c>
      <c r="AP241" s="34" t="s">
        <v>861</v>
      </c>
      <c r="AQ241" s="26" t="s">
        <v>866</v>
      </c>
    </row>
    <row r="242" spans="1:37" ht="12.75">
      <c r="A242" s="3"/>
      <c r="B242" s="11" t="s">
        <v>200</v>
      </c>
      <c r="C242" s="11" t="s">
        <v>304</v>
      </c>
      <c r="D242" s="79" t="s">
        <v>629</v>
      </c>
      <c r="E242" s="80"/>
      <c r="F242" s="80"/>
      <c r="G242" s="80"/>
      <c r="H242" s="35">
        <f>SUM(H243:H245)</f>
        <v>0</v>
      </c>
      <c r="I242" s="35">
        <f>SUM(I243:I245)</f>
        <v>0</v>
      </c>
      <c r="J242" s="35">
        <f>H242+I242</f>
        <v>0</v>
      </c>
      <c r="K242" s="26"/>
      <c r="L242" s="35">
        <f>SUM(L243:L245)</f>
        <v>0.0384</v>
      </c>
      <c r="M242" s="26"/>
      <c r="P242" s="35">
        <f>IF(Q242="PR",J242,SUM(O243:O245))</f>
        <v>0</v>
      </c>
      <c r="Q242" s="26" t="s">
        <v>809</v>
      </c>
      <c r="R242" s="35">
        <f>IF(Q242="HS",H242,0)</f>
        <v>0</v>
      </c>
      <c r="S242" s="35">
        <f>IF(Q242="HS",I242-P242,0)</f>
        <v>0</v>
      </c>
      <c r="T242" s="35">
        <f>IF(Q242="PS",H242,0)</f>
        <v>0</v>
      </c>
      <c r="U242" s="35">
        <f>IF(Q242="PS",I242-P242,0)</f>
        <v>0</v>
      </c>
      <c r="V242" s="35">
        <f>IF(Q242="MP",H242,0)</f>
        <v>0</v>
      </c>
      <c r="W242" s="35">
        <f>IF(Q242="MP",I242-P242,0)</f>
        <v>0</v>
      </c>
      <c r="X242" s="35">
        <f>IF(Q242="OM",H242,0)</f>
        <v>0</v>
      </c>
      <c r="Y242" s="26" t="s">
        <v>200</v>
      </c>
      <c r="AI242" s="35">
        <f>SUM(Z243:Z245)</f>
        <v>0</v>
      </c>
      <c r="AJ242" s="35">
        <f>SUM(AA243:AA245)</f>
        <v>0</v>
      </c>
      <c r="AK242" s="35">
        <f>SUM(AB243:AB245)</f>
        <v>0</v>
      </c>
    </row>
    <row r="243" spans="1:43" ht="12.75">
      <c r="A243" s="4" t="s">
        <v>107</v>
      </c>
      <c r="B243" s="4" t="s">
        <v>200</v>
      </c>
      <c r="C243" s="4" t="s">
        <v>305</v>
      </c>
      <c r="D243" s="4" t="s">
        <v>630</v>
      </c>
      <c r="E243" s="4" t="s">
        <v>776</v>
      </c>
      <c r="F243" s="17">
        <v>1.5</v>
      </c>
      <c r="G243" s="17"/>
      <c r="H243" s="17">
        <f>F243*AE243</f>
        <v>0</v>
      </c>
      <c r="I243" s="17">
        <f>J243-H243</f>
        <v>0</v>
      </c>
      <c r="J243" s="17">
        <f>F243*G243</f>
        <v>0</v>
      </c>
      <c r="K243" s="17">
        <v>0</v>
      </c>
      <c r="L243" s="17">
        <f>F243*K243</f>
        <v>0</v>
      </c>
      <c r="M243" s="29" t="s">
        <v>804</v>
      </c>
      <c r="N243" s="29" t="s">
        <v>7</v>
      </c>
      <c r="O243" s="17">
        <f>IF(N243="5",I243,0)</f>
        <v>0</v>
      </c>
      <c r="Z243" s="17">
        <f>IF(AD243=0,J243,0)</f>
        <v>0</v>
      </c>
      <c r="AA243" s="17">
        <f>IF(AD243=15,J243,0)</f>
        <v>0</v>
      </c>
      <c r="AB243" s="17">
        <f>IF(AD243=21,J243,0)</f>
        <v>0</v>
      </c>
      <c r="AD243" s="33">
        <v>21</v>
      </c>
      <c r="AE243" s="33">
        <f>G243*0</f>
        <v>0</v>
      </c>
      <c r="AF243" s="33">
        <f>G243*(1-0)</f>
        <v>0</v>
      </c>
      <c r="AM243" s="33">
        <f>F243*AE243</f>
        <v>0</v>
      </c>
      <c r="AN243" s="33">
        <f>F243*AF243</f>
        <v>0</v>
      </c>
      <c r="AO243" s="34" t="s">
        <v>840</v>
      </c>
      <c r="AP243" s="34" t="s">
        <v>862</v>
      </c>
      <c r="AQ243" s="26" t="s">
        <v>866</v>
      </c>
    </row>
    <row r="244" spans="1:43" ht="12.75">
      <c r="A244" s="5" t="s">
        <v>108</v>
      </c>
      <c r="B244" s="5" t="s">
        <v>200</v>
      </c>
      <c r="C244" s="5" t="s">
        <v>306</v>
      </c>
      <c r="D244" s="5" t="s">
        <v>631</v>
      </c>
      <c r="E244" s="5" t="s">
        <v>776</v>
      </c>
      <c r="F244" s="19">
        <v>2</v>
      </c>
      <c r="G244" s="19"/>
      <c r="H244" s="19">
        <f>F244*AE244</f>
        <v>0</v>
      </c>
      <c r="I244" s="19">
        <f>J244-H244</f>
        <v>0</v>
      </c>
      <c r="J244" s="19">
        <f>F244*G244</f>
        <v>0</v>
      </c>
      <c r="K244" s="19">
        <v>0.0192</v>
      </c>
      <c r="L244" s="19">
        <f>F244*K244</f>
        <v>0.0384</v>
      </c>
      <c r="M244" s="30" t="s">
        <v>804</v>
      </c>
      <c r="N244" s="30" t="s">
        <v>805</v>
      </c>
      <c r="O244" s="19">
        <f>IF(N244="5",I244,0)</f>
        <v>0</v>
      </c>
      <c r="Z244" s="19">
        <f>IF(AD244=0,J244,0)</f>
        <v>0</v>
      </c>
      <c r="AA244" s="19">
        <f>IF(AD244=15,J244,0)</f>
        <v>0</v>
      </c>
      <c r="AB244" s="19">
        <f>IF(AD244=21,J244,0)</f>
        <v>0</v>
      </c>
      <c r="AD244" s="33">
        <v>21</v>
      </c>
      <c r="AE244" s="33">
        <f>G244*1</f>
        <v>0</v>
      </c>
      <c r="AF244" s="33">
        <f>G244*(1-1)</f>
        <v>0</v>
      </c>
      <c r="AM244" s="33">
        <f>F244*AE244</f>
        <v>0</v>
      </c>
      <c r="AN244" s="33">
        <f>F244*AF244</f>
        <v>0</v>
      </c>
      <c r="AO244" s="34" t="s">
        <v>840</v>
      </c>
      <c r="AP244" s="34" t="s">
        <v>862</v>
      </c>
      <c r="AQ244" s="26" t="s">
        <v>866</v>
      </c>
    </row>
    <row r="245" spans="1:43" ht="12.75">
      <c r="A245" s="4" t="s">
        <v>109</v>
      </c>
      <c r="B245" s="4" t="s">
        <v>200</v>
      </c>
      <c r="C245" s="4" t="s">
        <v>307</v>
      </c>
      <c r="D245" s="4" t="s">
        <v>632</v>
      </c>
      <c r="E245" s="4" t="s">
        <v>776</v>
      </c>
      <c r="F245" s="17">
        <v>1.5</v>
      </c>
      <c r="G245" s="17"/>
      <c r="H245" s="17">
        <f>F245*AE245</f>
        <v>0</v>
      </c>
      <c r="I245" s="17">
        <f>J245-H245</f>
        <v>0</v>
      </c>
      <c r="J245" s="17">
        <f>F245*G245</f>
        <v>0</v>
      </c>
      <c r="K245" s="17">
        <v>0</v>
      </c>
      <c r="L245" s="17">
        <f>F245*K245</f>
        <v>0</v>
      </c>
      <c r="M245" s="29" t="s">
        <v>804</v>
      </c>
      <c r="N245" s="29" t="s">
        <v>7</v>
      </c>
      <c r="O245" s="17">
        <f>IF(N245="5",I245,0)</f>
        <v>0</v>
      </c>
      <c r="Z245" s="17">
        <f>IF(AD245=0,J245,0)</f>
        <v>0</v>
      </c>
      <c r="AA245" s="17">
        <f>IF(AD245=15,J245,0)</f>
        <v>0</v>
      </c>
      <c r="AB245" s="17">
        <f>IF(AD245=21,J245,0)</f>
        <v>0</v>
      </c>
      <c r="AD245" s="33">
        <v>21</v>
      </c>
      <c r="AE245" s="33">
        <f>G245*0</f>
        <v>0</v>
      </c>
      <c r="AF245" s="33">
        <f>G245*(1-0)</f>
        <v>0</v>
      </c>
      <c r="AM245" s="33">
        <f>F245*AE245</f>
        <v>0</v>
      </c>
      <c r="AN245" s="33">
        <f>F245*AF245</f>
        <v>0</v>
      </c>
      <c r="AO245" s="34" t="s">
        <v>840</v>
      </c>
      <c r="AP245" s="34" t="s">
        <v>862</v>
      </c>
      <c r="AQ245" s="26" t="s">
        <v>866</v>
      </c>
    </row>
    <row r="246" spans="1:37" ht="12.75">
      <c r="A246" s="3"/>
      <c r="B246" s="11" t="s">
        <v>200</v>
      </c>
      <c r="C246" s="11" t="s">
        <v>308</v>
      </c>
      <c r="D246" s="79" t="s">
        <v>633</v>
      </c>
      <c r="E246" s="80"/>
      <c r="F246" s="80"/>
      <c r="G246" s="80"/>
      <c r="H246" s="35">
        <f>SUM(H247:H247)</f>
        <v>0</v>
      </c>
      <c r="I246" s="35">
        <f>SUM(I247:I247)</f>
        <v>0</v>
      </c>
      <c r="J246" s="35">
        <f>H246+I246</f>
        <v>0</v>
      </c>
      <c r="K246" s="26"/>
      <c r="L246" s="35">
        <f>SUM(L247:L247)</f>
        <v>0.002025</v>
      </c>
      <c r="M246" s="26"/>
      <c r="P246" s="35">
        <f>IF(Q246="PR",J246,SUM(O247:O247))</f>
        <v>0</v>
      </c>
      <c r="Q246" s="26" t="s">
        <v>809</v>
      </c>
      <c r="R246" s="35">
        <f>IF(Q246="HS",H246,0)</f>
        <v>0</v>
      </c>
      <c r="S246" s="35">
        <f>IF(Q246="HS",I246-P246,0)</f>
        <v>0</v>
      </c>
      <c r="T246" s="35">
        <f>IF(Q246="PS",H246,0)</f>
        <v>0</v>
      </c>
      <c r="U246" s="35">
        <f>IF(Q246="PS",I246-P246,0)</f>
        <v>0</v>
      </c>
      <c r="V246" s="35">
        <f>IF(Q246="MP",H246,0)</f>
        <v>0</v>
      </c>
      <c r="W246" s="35">
        <f>IF(Q246="MP",I246-P246,0)</f>
        <v>0</v>
      </c>
      <c r="X246" s="35">
        <f>IF(Q246="OM",H246,0)</f>
        <v>0</v>
      </c>
      <c r="Y246" s="26" t="s">
        <v>200</v>
      </c>
      <c r="AI246" s="35">
        <f>SUM(Z247:Z247)</f>
        <v>0</v>
      </c>
      <c r="AJ246" s="35">
        <f>SUM(AA247:AA247)</f>
        <v>0</v>
      </c>
      <c r="AK246" s="35">
        <f>SUM(AB247:AB247)</f>
        <v>0</v>
      </c>
    </row>
    <row r="247" spans="1:43" ht="12.75">
      <c r="A247" s="4" t="s">
        <v>110</v>
      </c>
      <c r="B247" s="4" t="s">
        <v>200</v>
      </c>
      <c r="C247" s="4" t="s">
        <v>309</v>
      </c>
      <c r="D247" s="4" t="s">
        <v>634</v>
      </c>
      <c r="E247" s="4" t="s">
        <v>776</v>
      </c>
      <c r="F247" s="17">
        <v>13.5</v>
      </c>
      <c r="G247" s="17"/>
      <c r="H247" s="17">
        <f>F247*AE247</f>
        <v>0</v>
      </c>
      <c r="I247" s="17">
        <f>J247-H247</f>
        <v>0</v>
      </c>
      <c r="J247" s="17">
        <f>F247*G247</f>
        <v>0</v>
      </c>
      <c r="K247" s="17">
        <v>0.00015</v>
      </c>
      <c r="L247" s="17">
        <f>F247*K247</f>
        <v>0.002025</v>
      </c>
      <c r="M247" s="29" t="s">
        <v>804</v>
      </c>
      <c r="N247" s="29" t="s">
        <v>7</v>
      </c>
      <c r="O247" s="17">
        <f>IF(N247="5",I247,0)</f>
        <v>0</v>
      </c>
      <c r="Z247" s="17">
        <f>IF(AD247=0,J247,0)</f>
        <v>0</v>
      </c>
      <c r="AA247" s="17">
        <f>IF(AD247=15,J247,0)</f>
        <v>0</v>
      </c>
      <c r="AB247" s="17">
        <f>IF(AD247=21,J247,0)</f>
        <v>0</v>
      </c>
      <c r="AD247" s="33">
        <v>21</v>
      </c>
      <c r="AE247" s="33">
        <f>G247*0.109578137436986</f>
        <v>0</v>
      </c>
      <c r="AF247" s="33">
        <f>G247*(1-0.109578137436986)</f>
        <v>0</v>
      </c>
      <c r="AM247" s="33">
        <f>F247*AE247</f>
        <v>0</v>
      </c>
      <c r="AN247" s="33">
        <f>F247*AF247</f>
        <v>0</v>
      </c>
      <c r="AO247" s="34" t="s">
        <v>841</v>
      </c>
      <c r="AP247" s="34" t="s">
        <v>863</v>
      </c>
      <c r="AQ247" s="26" t="s">
        <v>866</v>
      </c>
    </row>
    <row r="248" spans="4:6" ht="12.75">
      <c r="D248" s="13" t="s">
        <v>635</v>
      </c>
      <c r="F248" s="18">
        <v>13.5</v>
      </c>
    </row>
    <row r="249" spans="1:37" ht="12.75">
      <c r="A249" s="3"/>
      <c r="B249" s="11" t="s">
        <v>200</v>
      </c>
      <c r="C249" s="11" t="s">
        <v>93</v>
      </c>
      <c r="D249" s="79" t="s">
        <v>636</v>
      </c>
      <c r="E249" s="80"/>
      <c r="F249" s="80"/>
      <c r="G249" s="80"/>
      <c r="H249" s="35">
        <f>SUM(H250:H272)</f>
        <v>0</v>
      </c>
      <c r="I249" s="35">
        <f>SUM(I250:I272)</f>
        <v>0</v>
      </c>
      <c r="J249" s="35">
        <f>H249+I249</f>
        <v>0</v>
      </c>
      <c r="K249" s="26"/>
      <c r="L249" s="35">
        <f>SUM(L250:L272)</f>
        <v>0.804399028</v>
      </c>
      <c r="M249" s="26"/>
      <c r="P249" s="35">
        <f>IF(Q249="PR",J249,SUM(O250:O272))</f>
        <v>0</v>
      </c>
      <c r="Q249" s="26" t="s">
        <v>808</v>
      </c>
      <c r="R249" s="35">
        <f>IF(Q249="HS",H249,0)</f>
        <v>0</v>
      </c>
      <c r="S249" s="35">
        <f>IF(Q249="HS",I249-P249,0)</f>
        <v>0</v>
      </c>
      <c r="T249" s="35">
        <f>IF(Q249="PS",H249,0)</f>
        <v>0</v>
      </c>
      <c r="U249" s="35">
        <f>IF(Q249="PS",I249-P249,0)</f>
        <v>0</v>
      </c>
      <c r="V249" s="35">
        <f>IF(Q249="MP",H249,0)</f>
        <v>0</v>
      </c>
      <c r="W249" s="35">
        <f>IF(Q249="MP",I249-P249,0)</f>
        <v>0</v>
      </c>
      <c r="X249" s="35">
        <f>IF(Q249="OM",H249,0)</f>
        <v>0</v>
      </c>
      <c r="Y249" s="26" t="s">
        <v>200</v>
      </c>
      <c r="AI249" s="35">
        <f>SUM(Z250:Z272)</f>
        <v>0</v>
      </c>
      <c r="AJ249" s="35">
        <f>SUM(AA250:AA272)</f>
        <v>0</v>
      </c>
      <c r="AK249" s="35">
        <f>SUM(AB250:AB272)</f>
        <v>0</v>
      </c>
    </row>
    <row r="250" spans="1:43" ht="12.75">
      <c r="A250" s="4" t="s">
        <v>111</v>
      </c>
      <c r="B250" s="4" t="s">
        <v>200</v>
      </c>
      <c r="C250" s="4" t="s">
        <v>310</v>
      </c>
      <c r="D250" s="4" t="s">
        <v>637</v>
      </c>
      <c r="E250" s="4" t="s">
        <v>777</v>
      </c>
      <c r="F250" s="17">
        <v>61.3</v>
      </c>
      <c r="G250" s="17"/>
      <c r="H250" s="17">
        <f>F250*AE250</f>
        <v>0</v>
      </c>
      <c r="I250" s="17">
        <f>J250-H250</f>
        <v>0</v>
      </c>
      <c r="J250" s="17">
        <f>F250*G250</f>
        <v>0</v>
      </c>
      <c r="K250" s="17">
        <v>0.0001</v>
      </c>
      <c r="L250" s="17">
        <f>F250*K250</f>
        <v>0.00613</v>
      </c>
      <c r="M250" s="29" t="s">
        <v>804</v>
      </c>
      <c r="N250" s="29" t="s">
        <v>7</v>
      </c>
      <c r="O250" s="17">
        <f>IF(N250="5",I250,0)</f>
        <v>0</v>
      </c>
      <c r="Z250" s="17">
        <f>IF(AD250=0,J250,0)</f>
        <v>0</v>
      </c>
      <c r="AA250" s="17">
        <f>IF(AD250=15,J250,0)</f>
        <v>0</v>
      </c>
      <c r="AB250" s="17">
        <f>IF(AD250=21,J250,0)</f>
        <v>0</v>
      </c>
      <c r="AD250" s="33">
        <v>21</v>
      </c>
      <c r="AE250" s="33">
        <f>G250*0.15778944736184</f>
        <v>0</v>
      </c>
      <c r="AF250" s="33">
        <f>G250*(1-0.15778944736184)</f>
        <v>0</v>
      </c>
      <c r="AM250" s="33">
        <f>F250*AE250</f>
        <v>0</v>
      </c>
      <c r="AN250" s="33">
        <f>F250*AF250</f>
        <v>0</v>
      </c>
      <c r="AO250" s="34" t="s">
        <v>842</v>
      </c>
      <c r="AP250" s="34" t="s">
        <v>864</v>
      </c>
      <c r="AQ250" s="26" t="s">
        <v>866</v>
      </c>
    </row>
    <row r="251" spans="4:6" ht="12.75">
      <c r="D251" s="13" t="s">
        <v>638</v>
      </c>
      <c r="F251" s="18">
        <v>61.3</v>
      </c>
    </row>
    <row r="252" spans="1:43" ht="12.75">
      <c r="A252" s="5" t="s">
        <v>112</v>
      </c>
      <c r="B252" s="5" t="s">
        <v>200</v>
      </c>
      <c r="C252" s="5" t="s">
        <v>311</v>
      </c>
      <c r="D252" s="5" t="s">
        <v>639</v>
      </c>
      <c r="E252" s="5" t="s">
        <v>781</v>
      </c>
      <c r="F252" s="19">
        <v>21.45</v>
      </c>
      <c r="G252" s="19"/>
      <c r="H252" s="19">
        <f>F252*AE252</f>
        <v>0</v>
      </c>
      <c r="I252" s="19">
        <f>J252-H252</f>
        <v>0</v>
      </c>
      <c r="J252" s="19">
        <f>F252*G252</f>
        <v>0</v>
      </c>
      <c r="K252" s="19">
        <v>0.0078</v>
      </c>
      <c r="L252" s="19">
        <f>F252*K252</f>
        <v>0.16731</v>
      </c>
      <c r="M252" s="30" t="s">
        <v>804</v>
      </c>
      <c r="N252" s="30" t="s">
        <v>805</v>
      </c>
      <c r="O252" s="19">
        <f>IF(N252="5",I252,0)</f>
        <v>0</v>
      </c>
      <c r="Z252" s="19">
        <f>IF(AD252=0,J252,0)</f>
        <v>0</v>
      </c>
      <c r="AA252" s="19">
        <f>IF(AD252=15,J252,0)</f>
        <v>0</v>
      </c>
      <c r="AB252" s="19">
        <f>IF(AD252=21,J252,0)</f>
        <v>0</v>
      </c>
      <c r="AD252" s="33">
        <v>21</v>
      </c>
      <c r="AE252" s="33">
        <f>G252*1</f>
        <v>0</v>
      </c>
      <c r="AF252" s="33">
        <f>G252*(1-1)</f>
        <v>0</v>
      </c>
      <c r="AM252" s="33">
        <f>F252*AE252</f>
        <v>0</v>
      </c>
      <c r="AN252" s="33">
        <f>F252*AF252</f>
        <v>0</v>
      </c>
      <c r="AO252" s="34" t="s">
        <v>842</v>
      </c>
      <c r="AP252" s="34" t="s">
        <v>864</v>
      </c>
      <c r="AQ252" s="26" t="s">
        <v>866</v>
      </c>
    </row>
    <row r="253" spans="4:6" ht="12.75">
      <c r="D253" s="13" t="s">
        <v>640</v>
      </c>
      <c r="F253" s="18">
        <v>20.43</v>
      </c>
    </row>
    <row r="254" spans="4:6" ht="12.75">
      <c r="D254" s="13" t="s">
        <v>641</v>
      </c>
      <c r="F254" s="18">
        <v>1.02</v>
      </c>
    </row>
    <row r="255" spans="1:43" ht="12.75">
      <c r="A255" s="4" t="s">
        <v>113</v>
      </c>
      <c r="B255" s="4" t="s">
        <v>200</v>
      </c>
      <c r="C255" s="4" t="s">
        <v>312</v>
      </c>
      <c r="D255" s="4" t="s">
        <v>642</v>
      </c>
      <c r="E255" s="4" t="s">
        <v>777</v>
      </c>
      <c r="F255" s="17">
        <v>32</v>
      </c>
      <c r="G255" s="17"/>
      <c r="H255" s="17">
        <f>F255*AE255</f>
        <v>0</v>
      </c>
      <c r="I255" s="17">
        <f>J255-H255</f>
        <v>0</v>
      </c>
      <c r="J255" s="17">
        <f>F255*G255</f>
        <v>0</v>
      </c>
      <c r="K255" s="17">
        <v>0.00011</v>
      </c>
      <c r="L255" s="17">
        <f>F255*K255</f>
        <v>0.00352</v>
      </c>
      <c r="M255" s="29" t="s">
        <v>804</v>
      </c>
      <c r="N255" s="29" t="s">
        <v>7</v>
      </c>
      <c r="O255" s="17">
        <f>IF(N255="5",I255,0)</f>
        <v>0</v>
      </c>
      <c r="Z255" s="17">
        <f>IF(AD255=0,J255,0)</f>
        <v>0</v>
      </c>
      <c r="AA255" s="17">
        <f>IF(AD255=15,J255,0)</f>
        <v>0</v>
      </c>
      <c r="AB255" s="17">
        <f>IF(AD255=21,J255,0)</f>
        <v>0</v>
      </c>
      <c r="AD255" s="33">
        <v>21</v>
      </c>
      <c r="AE255" s="33">
        <f>G255*0.161196695691002</f>
        <v>0</v>
      </c>
      <c r="AF255" s="33">
        <f>G255*(1-0.161196695691002)</f>
        <v>0</v>
      </c>
      <c r="AM255" s="33">
        <f>F255*AE255</f>
        <v>0</v>
      </c>
      <c r="AN255" s="33">
        <f>F255*AF255</f>
        <v>0</v>
      </c>
      <c r="AO255" s="34" t="s">
        <v>842</v>
      </c>
      <c r="AP255" s="34" t="s">
        <v>864</v>
      </c>
      <c r="AQ255" s="26" t="s">
        <v>866</v>
      </c>
    </row>
    <row r="256" spans="4:6" ht="12.75">
      <c r="D256" s="13" t="s">
        <v>643</v>
      </c>
      <c r="F256" s="18">
        <v>32</v>
      </c>
    </row>
    <row r="257" spans="1:43" ht="12.75">
      <c r="A257" s="5" t="s">
        <v>114</v>
      </c>
      <c r="B257" s="5" t="s">
        <v>200</v>
      </c>
      <c r="C257" s="5" t="s">
        <v>313</v>
      </c>
      <c r="D257" s="5" t="s">
        <v>644</v>
      </c>
      <c r="E257" s="5" t="s">
        <v>781</v>
      </c>
      <c r="F257" s="19">
        <v>6.72</v>
      </c>
      <c r="G257" s="19"/>
      <c r="H257" s="19">
        <f>F257*AE257</f>
        <v>0</v>
      </c>
      <c r="I257" s="19">
        <f>J257-H257</f>
        <v>0</v>
      </c>
      <c r="J257" s="19">
        <f>F257*G257</f>
        <v>0</v>
      </c>
      <c r="K257" s="19">
        <v>0.0203</v>
      </c>
      <c r="L257" s="19">
        <f>F257*K257</f>
        <v>0.13641599999999998</v>
      </c>
      <c r="M257" s="30" t="s">
        <v>804</v>
      </c>
      <c r="N257" s="30" t="s">
        <v>805</v>
      </c>
      <c r="O257" s="19">
        <f>IF(N257="5",I257,0)</f>
        <v>0</v>
      </c>
      <c r="Z257" s="19">
        <f>IF(AD257=0,J257,0)</f>
        <v>0</v>
      </c>
      <c r="AA257" s="19">
        <f>IF(AD257=15,J257,0)</f>
        <v>0</v>
      </c>
      <c r="AB257" s="19">
        <f>IF(AD257=21,J257,0)</f>
        <v>0</v>
      </c>
      <c r="AD257" s="33">
        <v>21</v>
      </c>
      <c r="AE257" s="33">
        <f>G257*1</f>
        <v>0</v>
      </c>
      <c r="AF257" s="33">
        <f>G257*(1-1)</f>
        <v>0</v>
      </c>
      <c r="AM257" s="33">
        <f>F257*AE257</f>
        <v>0</v>
      </c>
      <c r="AN257" s="33">
        <f>F257*AF257</f>
        <v>0</v>
      </c>
      <c r="AO257" s="34" t="s">
        <v>842</v>
      </c>
      <c r="AP257" s="34" t="s">
        <v>864</v>
      </c>
      <c r="AQ257" s="26" t="s">
        <v>866</v>
      </c>
    </row>
    <row r="258" spans="4:6" ht="12.75">
      <c r="D258" s="13" t="s">
        <v>645</v>
      </c>
      <c r="F258" s="18">
        <v>6.4</v>
      </c>
    </row>
    <row r="259" spans="4:6" ht="12.75">
      <c r="D259" s="13" t="s">
        <v>646</v>
      </c>
      <c r="F259" s="18">
        <v>0.32</v>
      </c>
    </row>
    <row r="260" spans="1:43" ht="12.75">
      <c r="A260" s="4" t="s">
        <v>115</v>
      </c>
      <c r="B260" s="4" t="s">
        <v>200</v>
      </c>
      <c r="C260" s="4" t="s">
        <v>314</v>
      </c>
      <c r="D260" s="4" t="s">
        <v>647</v>
      </c>
      <c r="E260" s="4" t="s">
        <v>781</v>
      </c>
      <c r="F260" s="17">
        <v>8</v>
      </c>
      <c r="G260" s="17"/>
      <c r="H260" s="17">
        <f>F260*AE260</f>
        <v>0</v>
      </c>
      <c r="I260" s="17">
        <f>J260-H260</f>
        <v>0</v>
      </c>
      <c r="J260" s="17">
        <f>F260*G260</f>
        <v>0</v>
      </c>
      <c r="K260" s="17">
        <v>1E-05</v>
      </c>
      <c r="L260" s="17">
        <f>F260*K260</f>
        <v>8E-05</v>
      </c>
      <c r="M260" s="29" t="s">
        <v>804</v>
      </c>
      <c r="N260" s="29" t="s">
        <v>7</v>
      </c>
      <c r="O260" s="17">
        <f>IF(N260="5",I260,0)</f>
        <v>0</v>
      </c>
      <c r="Z260" s="17">
        <f>IF(AD260=0,J260,0)</f>
        <v>0</v>
      </c>
      <c r="AA260" s="17">
        <f>IF(AD260=15,J260,0)</f>
        <v>0</v>
      </c>
      <c r="AB260" s="17">
        <f>IF(AD260=21,J260,0)</f>
        <v>0</v>
      </c>
      <c r="AD260" s="33">
        <v>21</v>
      </c>
      <c r="AE260" s="33">
        <f>G260*0.00716981132075472</f>
        <v>0</v>
      </c>
      <c r="AF260" s="33">
        <f>G260*(1-0.00716981132075472)</f>
        <v>0</v>
      </c>
      <c r="AM260" s="33">
        <f>F260*AE260</f>
        <v>0</v>
      </c>
      <c r="AN260" s="33">
        <f>F260*AF260</f>
        <v>0</v>
      </c>
      <c r="AO260" s="34" t="s">
        <v>842</v>
      </c>
      <c r="AP260" s="34" t="s">
        <v>864</v>
      </c>
      <c r="AQ260" s="26" t="s">
        <v>866</v>
      </c>
    </row>
    <row r="261" spans="1:43" ht="12.75">
      <c r="A261" s="5" t="s">
        <v>116</v>
      </c>
      <c r="B261" s="5" t="s">
        <v>200</v>
      </c>
      <c r="C261" s="5" t="s">
        <v>315</v>
      </c>
      <c r="D261" s="5" t="s">
        <v>648</v>
      </c>
      <c r="E261" s="5" t="s">
        <v>781</v>
      </c>
      <c r="F261" s="19">
        <v>4</v>
      </c>
      <c r="G261" s="19"/>
      <c r="H261" s="19">
        <f>F261*AE261</f>
        <v>0</v>
      </c>
      <c r="I261" s="19">
        <f>J261-H261</f>
        <v>0</v>
      </c>
      <c r="J261" s="19">
        <f>F261*G261</f>
        <v>0</v>
      </c>
      <c r="K261" s="19">
        <v>0.0014</v>
      </c>
      <c r="L261" s="19">
        <f>F261*K261</f>
        <v>0.0056</v>
      </c>
      <c r="M261" s="30" t="s">
        <v>804</v>
      </c>
      <c r="N261" s="30" t="s">
        <v>805</v>
      </c>
      <c r="O261" s="19">
        <f>IF(N261="5",I261,0)</f>
        <v>0</v>
      </c>
      <c r="Z261" s="19">
        <f>IF(AD261=0,J261,0)</f>
        <v>0</v>
      </c>
      <c r="AA261" s="19">
        <f>IF(AD261=15,J261,0)</f>
        <v>0</v>
      </c>
      <c r="AB261" s="19">
        <f>IF(AD261=21,J261,0)</f>
        <v>0</v>
      </c>
      <c r="AD261" s="33">
        <v>21</v>
      </c>
      <c r="AE261" s="33">
        <f>G261*1</f>
        <v>0</v>
      </c>
      <c r="AF261" s="33">
        <f>G261*(1-1)</f>
        <v>0</v>
      </c>
      <c r="AM261" s="33">
        <f>F261*AE261</f>
        <v>0</v>
      </c>
      <c r="AN261" s="33">
        <f>F261*AF261</f>
        <v>0</v>
      </c>
      <c r="AO261" s="34" t="s">
        <v>842</v>
      </c>
      <c r="AP261" s="34" t="s">
        <v>864</v>
      </c>
      <c r="AQ261" s="26" t="s">
        <v>866</v>
      </c>
    </row>
    <row r="262" spans="1:43" ht="12.75">
      <c r="A262" s="5" t="s">
        <v>117</v>
      </c>
      <c r="B262" s="5" t="s">
        <v>200</v>
      </c>
      <c r="C262" s="5" t="s">
        <v>316</v>
      </c>
      <c r="D262" s="5" t="s">
        <v>649</v>
      </c>
      <c r="E262" s="5" t="s">
        <v>781</v>
      </c>
      <c r="F262" s="19">
        <v>4</v>
      </c>
      <c r="G262" s="19"/>
      <c r="H262" s="19">
        <f>F262*AE262</f>
        <v>0</v>
      </c>
      <c r="I262" s="19">
        <f>J262-H262</f>
        <v>0</v>
      </c>
      <c r="J262" s="19">
        <f>F262*G262</f>
        <v>0</v>
      </c>
      <c r="K262" s="19">
        <v>0.00057</v>
      </c>
      <c r="L262" s="19">
        <f>F262*K262</f>
        <v>0.00228</v>
      </c>
      <c r="M262" s="30" t="s">
        <v>804</v>
      </c>
      <c r="N262" s="30" t="s">
        <v>805</v>
      </c>
      <c r="O262" s="19">
        <f>IF(N262="5",I262,0)</f>
        <v>0</v>
      </c>
      <c r="Z262" s="19">
        <f>IF(AD262=0,J262,0)</f>
        <v>0</v>
      </c>
      <c r="AA262" s="19">
        <f>IF(AD262=15,J262,0)</f>
        <v>0</v>
      </c>
      <c r="AB262" s="19">
        <f>IF(AD262=21,J262,0)</f>
        <v>0</v>
      </c>
      <c r="AD262" s="33">
        <v>21</v>
      </c>
      <c r="AE262" s="33">
        <f>G262*1</f>
        <v>0</v>
      </c>
      <c r="AF262" s="33">
        <f>G262*(1-1)</f>
        <v>0</v>
      </c>
      <c r="AM262" s="33">
        <f>F262*AE262</f>
        <v>0</v>
      </c>
      <c r="AN262" s="33">
        <f>F262*AF262</f>
        <v>0</v>
      </c>
      <c r="AO262" s="34" t="s">
        <v>842</v>
      </c>
      <c r="AP262" s="34" t="s">
        <v>864</v>
      </c>
      <c r="AQ262" s="26" t="s">
        <v>866</v>
      </c>
    </row>
    <row r="263" spans="1:43" ht="12.75">
      <c r="A263" s="4" t="s">
        <v>118</v>
      </c>
      <c r="B263" s="4" t="s">
        <v>200</v>
      </c>
      <c r="C263" s="4" t="s">
        <v>317</v>
      </c>
      <c r="D263" s="4" t="s">
        <v>650</v>
      </c>
      <c r="E263" s="4" t="s">
        <v>777</v>
      </c>
      <c r="F263" s="17">
        <v>12</v>
      </c>
      <c r="G263" s="17"/>
      <c r="H263" s="17">
        <f>F263*AE263</f>
        <v>0</v>
      </c>
      <c r="I263" s="17">
        <f>J263-H263</f>
        <v>0</v>
      </c>
      <c r="J263" s="17">
        <f>F263*G263</f>
        <v>0</v>
      </c>
      <c r="K263" s="17">
        <v>0</v>
      </c>
      <c r="L263" s="17">
        <f>F263*K263</f>
        <v>0</v>
      </c>
      <c r="M263" s="29" t="s">
        <v>804</v>
      </c>
      <c r="N263" s="29" t="s">
        <v>7</v>
      </c>
      <c r="O263" s="17">
        <f>IF(N263="5",I263,0)</f>
        <v>0</v>
      </c>
      <c r="Z263" s="17">
        <f>IF(AD263=0,J263,0)</f>
        <v>0</v>
      </c>
      <c r="AA263" s="17">
        <f>IF(AD263=15,J263,0)</f>
        <v>0</v>
      </c>
      <c r="AB263" s="17">
        <f>IF(AD263=21,J263,0)</f>
        <v>0</v>
      </c>
      <c r="AD263" s="33">
        <v>21</v>
      </c>
      <c r="AE263" s="33">
        <f>G263*0</f>
        <v>0</v>
      </c>
      <c r="AF263" s="33">
        <f>G263*(1-0)</f>
        <v>0</v>
      </c>
      <c r="AM263" s="33">
        <f>F263*AE263</f>
        <v>0</v>
      </c>
      <c r="AN263" s="33">
        <f>F263*AF263</f>
        <v>0</v>
      </c>
      <c r="AO263" s="34" t="s">
        <v>842</v>
      </c>
      <c r="AP263" s="34" t="s">
        <v>864</v>
      </c>
      <c r="AQ263" s="26" t="s">
        <v>866</v>
      </c>
    </row>
    <row r="264" spans="4:6" ht="12.75">
      <c r="D264" s="13" t="s">
        <v>651</v>
      </c>
      <c r="F264" s="18">
        <v>12</v>
      </c>
    </row>
    <row r="265" spans="1:43" ht="12.75">
      <c r="A265" s="5" t="s">
        <v>119</v>
      </c>
      <c r="B265" s="5" t="s">
        <v>200</v>
      </c>
      <c r="C265" s="5" t="s">
        <v>318</v>
      </c>
      <c r="D265" s="5" t="s">
        <v>652</v>
      </c>
      <c r="E265" s="5" t="s">
        <v>777</v>
      </c>
      <c r="F265" s="19">
        <v>12</v>
      </c>
      <c r="G265" s="19"/>
      <c r="H265" s="19">
        <f>F265*AE265</f>
        <v>0</v>
      </c>
      <c r="I265" s="19">
        <f>J265-H265</f>
        <v>0</v>
      </c>
      <c r="J265" s="19">
        <f>F265*G265</f>
        <v>0</v>
      </c>
      <c r="K265" s="19">
        <v>0.00106</v>
      </c>
      <c r="L265" s="19">
        <f>F265*K265</f>
        <v>0.012719999999999999</v>
      </c>
      <c r="M265" s="30" t="s">
        <v>804</v>
      </c>
      <c r="N265" s="30" t="s">
        <v>805</v>
      </c>
      <c r="O265" s="19">
        <f>IF(N265="5",I265,0)</f>
        <v>0</v>
      </c>
      <c r="Z265" s="19">
        <f>IF(AD265=0,J265,0)</f>
        <v>0</v>
      </c>
      <c r="AA265" s="19">
        <f>IF(AD265=15,J265,0)</f>
        <v>0</v>
      </c>
      <c r="AB265" s="19">
        <f>IF(AD265=21,J265,0)</f>
        <v>0</v>
      </c>
      <c r="AD265" s="33">
        <v>21</v>
      </c>
      <c r="AE265" s="33">
        <f>G265*1</f>
        <v>0</v>
      </c>
      <c r="AF265" s="33">
        <f>G265*(1-1)</f>
        <v>0</v>
      </c>
      <c r="AM265" s="33">
        <f>F265*AE265</f>
        <v>0</v>
      </c>
      <c r="AN265" s="33">
        <f>F265*AF265</f>
        <v>0</v>
      </c>
      <c r="AO265" s="34" t="s">
        <v>842</v>
      </c>
      <c r="AP265" s="34" t="s">
        <v>864</v>
      </c>
      <c r="AQ265" s="26" t="s">
        <v>866</v>
      </c>
    </row>
    <row r="266" spans="1:43" ht="12.75">
      <c r="A266" s="4" t="s">
        <v>120</v>
      </c>
      <c r="B266" s="4" t="s">
        <v>200</v>
      </c>
      <c r="C266" s="4" t="s">
        <v>319</v>
      </c>
      <c r="D266" s="4" t="s">
        <v>653</v>
      </c>
      <c r="E266" s="4" t="s">
        <v>777</v>
      </c>
      <c r="F266" s="17">
        <v>57.7</v>
      </c>
      <c r="G266" s="17"/>
      <c r="H266" s="17">
        <f>F266*AE266</f>
        <v>0</v>
      </c>
      <c r="I266" s="17">
        <f>J266-H266</f>
        <v>0</v>
      </c>
      <c r="J266" s="17">
        <f>F266*G266</f>
        <v>0</v>
      </c>
      <c r="K266" s="17">
        <v>0.00016</v>
      </c>
      <c r="L266" s="17">
        <f>F266*K266</f>
        <v>0.009232</v>
      </c>
      <c r="M266" s="29" t="s">
        <v>804</v>
      </c>
      <c r="N266" s="29" t="s">
        <v>7</v>
      </c>
      <c r="O266" s="17">
        <f>IF(N266="5",I266,0)</f>
        <v>0</v>
      </c>
      <c r="Z266" s="17">
        <f>IF(AD266=0,J266,0)</f>
        <v>0</v>
      </c>
      <c r="AA266" s="17">
        <f>IF(AD266=15,J266,0)</f>
        <v>0</v>
      </c>
      <c r="AB266" s="17">
        <f>IF(AD266=21,J266,0)</f>
        <v>0</v>
      </c>
      <c r="AD266" s="33">
        <v>21</v>
      </c>
      <c r="AE266" s="33">
        <f>G266*0.0735873015873016</f>
        <v>0</v>
      </c>
      <c r="AF266" s="33">
        <f>G266*(1-0.0735873015873016)</f>
        <v>0</v>
      </c>
      <c r="AM266" s="33">
        <f>F266*AE266</f>
        <v>0</v>
      </c>
      <c r="AN266" s="33">
        <f>F266*AF266</f>
        <v>0</v>
      </c>
      <c r="AO266" s="34" t="s">
        <v>842</v>
      </c>
      <c r="AP266" s="34" t="s">
        <v>864</v>
      </c>
      <c r="AQ266" s="26" t="s">
        <v>866</v>
      </c>
    </row>
    <row r="267" spans="4:6" ht="12.75">
      <c r="D267" s="13" t="s">
        <v>654</v>
      </c>
      <c r="F267" s="18">
        <v>0</v>
      </c>
    </row>
    <row r="268" spans="4:6" ht="12.75">
      <c r="D268" s="13" t="s">
        <v>655</v>
      </c>
      <c r="F268" s="18">
        <v>57.7</v>
      </c>
    </row>
    <row r="269" spans="1:43" ht="12.75">
      <c r="A269" s="5" t="s">
        <v>121</v>
      </c>
      <c r="B269" s="5" t="s">
        <v>200</v>
      </c>
      <c r="C269" s="5" t="s">
        <v>320</v>
      </c>
      <c r="D269" s="5" t="s">
        <v>656</v>
      </c>
      <c r="E269" s="5" t="s">
        <v>781</v>
      </c>
      <c r="F269" s="19">
        <v>7.80216</v>
      </c>
      <c r="G269" s="19"/>
      <c r="H269" s="19">
        <f>F269*AE269</f>
        <v>0</v>
      </c>
      <c r="I269" s="19">
        <f>J269-H269</f>
        <v>0</v>
      </c>
      <c r="J269" s="19">
        <f>F269*G269</f>
        <v>0</v>
      </c>
      <c r="K269" s="19">
        <v>0.0308</v>
      </c>
      <c r="L269" s="19">
        <f>F269*K269</f>
        <v>0.240306528</v>
      </c>
      <c r="M269" s="30" t="s">
        <v>804</v>
      </c>
      <c r="N269" s="30" t="s">
        <v>805</v>
      </c>
      <c r="O269" s="19">
        <f>IF(N269="5",I269,0)</f>
        <v>0</v>
      </c>
      <c r="Z269" s="19">
        <f>IF(AD269=0,J269,0)</f>
        <v>0</v>
      </c>
      <c r="AA269" s="19">
        <f>IF(AD269=15,J269,0)</f>
        <v>0</v>
      </c>
      <c r="AB269" s="19">
        <f>IF(AD269=21,J269,0)</f>
        <v>0</v>
      </c>
      <c r="AD269" s="33">
        <v>21</v>
      </c>
      <c r="AE269" s="33">
        <f>G269*1</f>
        <v>0</v>
      </c>
      <c r="AF269" s="33">
        <f>G269*(1-1)</f>
        <v>0</v>
      </c>
      <c r="AM269" s="33">
        <f>F269*AE269</f>
        <v>0</v>
      </c>
      <c r="AN269" s="33">
        <f>F269*AF269</f>
        <v>0</v>
      </c>
      <c r="AO269" s="34" t="s">
        <v>842</v>
      </c>
      <c r="AP269" s="34" t="s">
        <v>864</v>
      </c>
      <c r="AQ269" s="26" t="s">
        <v>866</v>
      </c>
    </row>
    <row r="270" spans="4:6" ht="12.75">
      <c r="D270" s="13" t="s">
        <v>657</v>
      </c>
      <c r="F270" s="18">
        <v>6.14</v>
      </c>
    </row>
    <row r="271" spans="4:6" ht="12.75">
      <c r="D271" s="13" t="s">
        <v>658</v>
      </c>
      <c r="F271" s="18">
        <v>0.31</v>
      </c>
    </row>
    <row r="272" spans="1:43" ht="12.75">
      <c r="A272" s="5" t="s">
        <v>122</v>
      </c>
      <c r="B272" s="5" t="s">
        <v>200</v>
      </c>
      <c r="C272" s="5" t="s">
        <v>321</v>
      </c>
      <c r="D272" s="5" t="s">
        <v>659</v>
      </c>
      <c r="E272" s="5" t="s">
        <v>781</v>
      </c>
      <c r="F272" s="19">
        <v>3.57</v>
      </c>
      <c r="G272" s="19"/>
      <c r="H272" s="19">
        <f>F272*AE272</f>
        <v>0</v>
      </c>
      <c r="I272" s="19">
        <f>J272-H272</f>
        <v>0</v>
      </c>
      <c r="J272" s="19">
        <f>F272*G272</f>
        <v>0</v>
      </c>
      <c r="K272" s="19">
        <v>0.06185</v>
      </c>
      <c r="L272" s="19">
        <f>F272*K272</f>
        <v>0.2208045</v>
      </c>
      <c r="M272" s="30" t="s">
        <v>804</v>
      </c>
      <c r="N272" s="30" t="s">
        <v>805</v>
      </c>
      <c r="O272" s="19">
        <f>IF(N272="5",I272,0)</f>
        <v>0</v>
      </c>
      <c r="Z272" s="19">
        <f>IF(AD272=0,J272,0)</f>
        <v>0</v>
      </c>
      <c r="AA272" s="19">
        <f>IF(AD272=15,J272,0)</f>
        <v>0</v>
      </c>
      <c r="AB272" s="19">
        <f>IF(AD272=21,J272,0)</f>
        <v>0</v>
      </c>
      <c r="AD272" s="33">
        <v>21</v>
      </c>
      <c r="AE272" s="33">
        <f>G272*1</f>
        <v>0</v>
      </c>
      <c r="AF272" s="33">
        <f>G272*(1-1)</f>
        <v>0</v>
      </c>
      <c r="AM272" s="33">
        <f>F272*AE272</f>
        <v>0</v>
      </c>
      <c r="AN272" s="33">
        <f>F272*AF272</f>
        <v>0</v>
      </c>
      <c r="AO272" s="34" t="s">
        <v>842</v>
      </c>
      <c r="AP272" s="34" t="s">
        <v>864</v>
      </c>
      <c r="AQ272" s="26" t="s">
        <v>866</v>
      </c>
    </row>
    <row r="273" spans="4:6" ht="12.75">
      <c r="D273" s="13" t="s">
        <v>660</v>
      </c>
      <c r="F273" s="18">
        <v>3.4</v>
      </c>
    </row>
    <row r="274" spans="4:6" ht="12.75">
      <c r="D274" s="13" t="s">
        <v>661</v>
      </c>
      <c r="F274" s="18">
        <v>0.17</v>
      </c>
    </row>
    <row r="275" spans="1:37" ht="12.75">
      <c r="A275" s="3"/>
      <c r="B275" s="11" t="s">
        <v>200</v>
      </c>
      <c r="C275" s="11" t="s">
        <v>95</v>
      </c>
      <c r="D275" s="79" t="s">
        <v>662</v>
      </c>
      <c r="E275" s="80"/>
      <c r="F275" s="80"/>
      <c r="G275" s="80"/>
      <c r="H275" s="35">
        <f>SUM(H276:H306)</f>
        <v>0</v>
      </c>
      <c r="I275" s="35">
        <f>SUM(I276:I306)</f>
        <v>0</v>
      </c>
      <c r="J275" s="35">
        <f>H275+I275</f>
        <v>0</v>
      </c>
      <c r="K275" s="26"/>
      <c r="L275" s="35">
        <f>SUM(L276:L306)</f>
        <v>40.153290000000005</v>
      </c>
      <c r="M275" s="26"/>
      <c r="P275" s="35">
        <f>IF(Q275="PR",J275,SUM(O276:O306))</f>
        <v>0</v>
      </c>
      <c r="Q275" s="26" t="s">
        <v>808</v>
      </c>
      <c r="R275" s="35">
        <f>IF(Q275="HS",H275,0)</f>
        <v>0</v>
      </c>
      <c r="S275" s="35">
        <f>IF(Q275="HS",I275-P275,0)</f>
        <v>0</v>
      </c>
      <c r="T275" s="35">
        <f>IF(Q275="PS",H275,0)</f>
        <v>0</v>
      </c>
      <c r="U275" s="35">
        <f>IF(Q275="PS",I275-P275,0)</f>
        <v>0</v>
      </c>
      <c r="V275" s="35">
        <f>IF(Q275="MP",H275,0)</f>
        <v>0</v>
      </c>
      <c r="W275" s="35">
        <f>IF(Q275="MP",I275-P275,0)</f>
        <v>0</v>
      </c>
      <c r="X275" s="35">
        <f>IF(Q275="OM",H275,0)</f>
        <v>0</v>
      </c>
      <c r="Y275" s="26" t="s">
        <v>200</v>
      </c>
      <c r="AI275" s="35">
        <f>SUM(Z276:Z306)</f>
        <v>0</v>
      </c>
      <c r="AJ275" s="35">
        <f>SUM(AA276:AA306)</f>
        <v>0</v>
      </c>
      <c r="AK275" s="35">
        <f>SUM(AB276:AB306)</f>
        <v>0</v>
      </c>
    </row>
    <row r="276" spans="1:43" ht="12.75">
      <c r="A276" s="4" t="s">
        <v>123</v>
      </c>
      <c r="B276" s="4" t="s">
        <v>200</v>
      </c>
      <c r="C276" s="4" t="s">
        <v>322</v>
      </c>
      <c r="D276" s="4" t="s">
        <v>663</v>
      </c>
      <c r="E276" s="4" t="s">
        <v>781</v>
      </c>
      <c r="F276" s="17">
        <v>5</v>
      </c>
      <c r="G276" s="17"/>
      <c r="H276" s="17">
        <f>F276*AE276</f>
        <v>0</v>
      </c>
      <c r="I276" s="17">
        <f>J276-H276</f>
        <v>0</v>
      </c>
      <c r="J276" s="17">
        <f>F276*G276</f>
        <v>0</v>
      </c>
      <c r="K276" s="17">
        <v>0</v>
      </c>
      <c r="L276" s="17">
        <f>F276*K276</f>
        <v>0</v>
      </c>
      <c r="M276" s="29" t="s">
        <v>804</v>
      </c>
      <c r="N276" s="29" t="s">
        <v>7</v>
      </c>
      <c r="O276" s="17">
        <f>IF(N276="5",I276,0)</f>
        <v>0</v>
      </c>
      <c r="Z276" s="17">
        <f>IF(AD276=0,J276,0)</f>
        <v>0</v>
      </c>
      <c r="AA276" s="17">
        <f>IF(AD276=15,J276,0)</f>
        <v>0</v>
      </c>
      <c r="AB276" s="17">
        <f>IF(AD276=21,J276,0)</f>
        <v>0</v>
      </c>
      <c r="AD276" s="33">
        <v>21</v>
      </c>
      <c r="AE276" s="33">
        <f>G276*0</f>
        <v>0</v>
      </c>
      <c r="AF276" s="33">
        <f>G276*(1-0)</f>
        <v>0</v>
      </c>
      <c r="AM276" s="33">
        <f>F276*AE276</f>
        <v>0</v>
      </c>
      <c r="AN276" s="33">
        <f>F276*AF276</f>
        <v>0</v>
      </c>
      <c r="AO276" s="34" t="s">
        <v>843</v>
      </c>
      <c r="AP276" s="34" t="s">
        <v>864</v>
      </c>
      <c r="AQ276" s="26" t="s">
        <v>866</v>
      </c>
    </row>
    <row r="277" spans="1:43" ht="12.75">
      <c r="A277" s="4" t="s">
        <v>124</v>
      </c>
      <c r="B277" s="4" t="s">
        <v>200</v>
      </c>
      <c r="C277" s="4" t="s">
        <v>323</v>
      </c>
      <c r="D277" s="4" t="s">
        <v>664</v>
      </c>
      <c r="E277" s="4" t="s">
        <v>777</v>
      </c>
      <c r="F277" s="17">
        <v>147</v>
      </c>
      <c r="G277" s="17"/>
      <c r="H277" s="17">
        <f>F277*AE277</f>
        <v>0</v>
      </c>
      <c r="I277" s="17">
        <f>J277-H277</f>
        <v>0</v>
      </c>
      <c r="J277" s="17">
        <f>F277*G277</f>
        <v>0</v>
      </c>
      <c r="K277" s="17">
        <v>0</v>
      </c>
      <c r="L277" s="17">
        <f>F277*K277</f>
        <v>0</v>
      </c>
      <c r="M277" s="29"/>
      <c r="N277" s="29" t="s">
        <v>7</v>
      </c>
      <c r="O277" s="17">
        <f>IF(N277="5",I277,0)</f>
        <v>0</v>
      </c>
      <c r="Z277" s="17">
        <f>IF(AD277=0,J277,0)</f>
        <v>0</v>
      </c>
      <c r="AA277" s="17">
        <f>IF(AD277=15,J277,0)</f>
        <v>0</v>
      </c>
      <c r="AB277" s="17">
        <f>IF(AD277=21,J277,0)</f>
        <v>0</v>
      </c>
      <c r="AD277" s="33">
        <v>21</v>
      </c>
      <c r="AE277" s="33">
        <f>G277*0</f>
        <v>0</v>
      </c>
      <c r="AF277" s="33">
        <f>G277*(1-0)</f>
        <v>0</v>
      </c>
      <c r="AM277" s="33">
        <f>F277*AE277</f>
        <v>0</v>
      </c>
      <c r="AN277" s="33">
        <f>F277*AF277</f>
        <v>0</v>
      </c>
      <c r="AO277" s="34" t="s">
        <v>843</v>
      </c>
      <c r="AP277" s="34" t="s">
        <v>864</v>
      </c>
      <c r="AQ277" s="26" t="s">
        <v>866</v>
      </c>
    </row>
    <row r="278" spans="1:43" ht="12.75">
      <c r="A278" s="4" t="s">
        <v>125</v>
      </c>
      <c r="B278" s="4" t="s">
        <v>200</v>
      </c>
      <c r="C278" s="4" t="s">
        <v>324</v>
      </c>
      <c r="D278" s="4" t="s">
        <v>665</v>
      </c>
      <c r="E278" s="4" t="s">
        <v>777</v>
      </c>
      <c r="F278" s="17">
        <v>147</v>
      </c>
      <c r="G278" s="17"/>
      <c r="H278" s="17">
        <f>F278*AE278</f>
        <v>0</v>
      </c>
      <c r="I278" s="17">
        <f>J278-H278</f>
        <v>0</v>
      </c>
      <c r="J278" s="17">
        <f>F278*G278</f>
        <v>0</v>
      </c>
      <c r="K278" s="17">
        <v>0</v>
      </c>
      <c r="L278" s="17">
        <f>F278*K278</f>
        <v>0</v>
      </c>
      <c r="M278" s="29" t="s">
        <v>804</v>
      </c>
      <c r="N278" s="29" t="s">
        <v>7</v>
      </c>
      <c r="O278" s="17">
        <f>IF(N278="5",I278,0)</f>
        <v>0</v>
      </c>
      <c r="Z278" s="17">
        <f>IF(AD278=0,J278,0)</f>
        <v>0</v>
      </c>
      <c r="AA278" s="17">
        <f>IF(AD278=15,J278,0)</f>
        <v>0</v>
      </c>
      <c r="AB278" s="17">
        <f>IF(AD278=21,J278,0)</f>
        <v>0</v>
      </c>
      <c r="AD278" s="33">
        <v>21</v>
      </c>
      <c r="AE278" s="33">
        <f>G278*0.259356136820926</f>
        <v>0</v>
      </c>
      <c r="AF278" s="33">
        <f>G278*(1-0.259356136820926)</f>
        <v>0</v>
      </c>
      <c r="AM278" s="33">
        <f>F278*AE278</f>
        <v>0</v>
      </c>
      <c r="AN278" s="33">
        <f>F278*AF278</f>
        <v>0</v>
      </c>
      <c r="AO278" s="34" t="s">
        <v>843</v>
      </c>
      <c r="AP278" s="34" t="s">
        <v>864</v>
      </c>
      <c r="AQ278" s="26" t="s">
        <v>866</v>
      </c>
    </row>
    <row r="279" spans="4:6" ht="12.75">
      <c r="D279" s="13" t="s">
        <v>666</v>
      </c>
      <c r="F279" s="18">
        <v>147</v>
      </c>
    </row>
    <row r="280" spans="1:43" ht="12.75">
      <c r="A280" s="4" t="s">
        <v>126</v>
      </c>
      <c r="B280" s="4" t="s">
        <v>200</v>
      </c>
      <c r="C280" s="4" t="s">
        <v>325</v>
      </c>
      <c r="D280" s="4" t="s">
        <v>667</v>
      </c>
      <c r="E280" s="4" t="s">
        <v>783</v>
      </c>
      <c r="F280" s="17">
        <v>5</v>
      </c>
      <c r="G280" s="17"/>
      <c r="H280" s="17">
        <f>F280*AE280</f>
        <v>0</v>
      </c>
      <c r="I280" s="17">
        <f>J280-H280</f>
        <v>0</v>
      </c>
      <c r="J280" s="17">
        <f>F280*G280</f>
        <v>0</v>
      </c>
      <c r="K280" s="17">
        <v>0.00032</v>
      </c>
      <c r="L280" s="17">
        <f>F280*K280</f>
        <v>0.0016</v>
      </c>
      <c r="M280" s="29" t="s">
        <v>804</v>
      </c>
      <c r="N280" s="29" t="s">
        <v>7</v>
      </c>
      <c r="O280" s="17">
        <f>IF(N280="5",I280,0)</f>
        <v>0</v>
      </c>
      <c r="Z280" s="17">
        <f>IF(AD280=0,J280,0)</f>
        <v>0</v>
      </c>
      <c r="AA280" s="17">
        <f>IF(AD280=15,J280,0)</f>
        <v>0</v>
      </c>
      <c r="AB280" s="17">
        <f>IF(AD280=21,J280,0)</f>
        <v>0</v>
      </c>
      <c r="AD280" s="33">
        <v>21</v>
      </c>
      <c r="AE280" s="33">
        <f>G280*0.196592966696082</f>
        <v>0</v>
      </c>
      <c r="AF280" s="33">
        <f>G280*(1-0.196592966696082)</f>
        <v>0</v>
      </c>
      <c r="AM280" s="33">
        <f>F280*AE280</f>
        <v>0</v>
      </c>
      <c r="AN280" s="33">
        <f>F280*AF280</f>
        <v>0</v>
      </c>
      <c r="AO280" s="34" t="s">
        <v>843</v>
      </c>
      <c r="AP280" s="34" t="s">
        <v>864</v>
      </c>
      <c r="AQ280" s="26" t="s">
        <v>866</v>
      </c>
    </row>
    <row r="281" spans="1:43" ht="12.75">
      <c r="A281" s="4" t="s">
        <v>127</v>
      </c>
      <c r="B281" s="4" t="s">
        <v>200</v>
      </c>
      <c r="C281" s="4" t="s">
        <v>326</v>
      </c>
      <c r="D281" s="4" t="s">
        <v>668</v>
      </c>
      <c r="E281" s="4" t="s">
        <v>781</v>
      </c>
      <c r="F281" s="17">
        <v>1</v>
      </c>
      <c r="G281" s="17"/>
      <c r="H281" s="17">
        <f>F281*AE281</f>
        <v>0</v>
      </c>
      <c r="I281" s="17">
        <f>J281-H281</f>
        <v>0</v>
      </c>
      <c r="J281" s="17">
        <f>F281*G281</f>
        <v>0</v>
      </c>
      <c r="K281" s="17">
        <v>0</v>
      </c>
      <c r="L281" s="17">
        <f>F281*K281</f>
        <v>0</v>
      </c>
      <c r="M281" s="29"/>
      <c r="N281" s="29" t="s">
        <v>7</v>
      </c>
      <c r="O281" s="17">
        <f>IF(N281="5",I281,0)</f>
        <v>0</v>
      </c>
      <c r="Z281" s="17">
        <f>IF(AD281=0,J281,0)</f>
        <v>0</v>
      </c>
      <c r="AA281" s="17">
        <f>IF(AD281=15,J281,0)</f>
        <v>0</v>
      </c>
      <c r="AB281" s="17">
        <f>IF(AD281=21,J281,0)</f>
        <v>0</v>
      </c>
      <c r="AD281" s="33">
        <v>21</v>
      </c>
      <c r="AE281" s="33">
        <f>G281*0</f>
        <v>0</v>
      </c>
      <c r="AF281" s="33">
        <f>G281*(1-0)</f>
        <v>0</v>
      </c>
      <c r="AM281" s="33">
        <f>F281*AE281</f>
        <v>0</v>
      </c>
      <c r="AN281" s="33">
        <f>F281*AF281</f>
        <v>0</v>
      </c>
      <c r="AO281" s="34" t="s">
        <v>843</v>
      </c>
      <c r="AP281" s="34" t="s">
        <v>864</v>
      </c>
      <c r="AQ281" s="26" t="s">
        <v>866</v>
      </c>
    </row>
    <row r="282" spans="4:6" ht="12.75">
      <c r="D282" s="13" t="s">
        <v>669</v>
      </c>
      <c r="F282" s="18">
        <v>0</v>
      </c>
    </row>
    <row r="283" spans="4:6" ht="12.75">
      <c r="D283" s="13" t="s">
        <v>670</v>
      </c>
      <c r="F283" s="18">
        <v>0</v>
      </c>
    </row>
    <row r="284" spans="4:6" ht="12.75">
      <c r="D284" s="13" t="s">
        <v>671</v>
      </c>
      <c r="F284" s="18">
        <v>0</v>
      </c>
    </row>
    <row r="285" spans="1:43" ht="12.75">
      <c r="A285" s="5" t="s">
        <v>128</v>
      </c>
      <c r="B285" s="5" t="s">
        <v>200</v>
      </c>
      <c r="C285" s="5" t="s">
        <v>327</v>
      </c>
      <c r="D285" s="5" t="s">
        <v>672</v>
      </c>
      <c r="E285" s="5" t="s">
        <v>781</v>
      </c>
      <c r="F285" s="19">
        <v>2</v>
      </c>
      <c r="G285" s="19"/>
      <c r="H285" s="19">
        <f aca="true" t="shared" si="20" ref="H285:H290">F285*AE285</f>
        <v>0</v>
      </c>
      <c r="I285" s="19">
        <f aca="true" t="shared" si="21" ref="I285:I290">J285-H285</f>
        <v>0</v>
      </c>
      <c r="J285" s="19">
        <f aca="true" t="shared" si="22" ref="J285:J290">F285*G285</f>
        <v>0</v>
      </c>
      <c r="K285" s="19">
        <v>0.00969</v>
      </c>
      <c r="L285" s="19">
        <f aca="true" t="shared" si="23" ref="L285:L290">F285*K285</f>
        <v>0.01938</v>
      </c>
      <c r="M285" s="30" t="s">
        <v>804</v>
      </c>
      <c r="N285" s="30" t="s">
        <v>805</v>
      </c>
      <c r="O285" s="19">
        <f aca="true" t="shared" si="24" ref="O285:O290">IF(N285="5",I285,0)</f>
        <v>0</v>
      </c>
      <c r="Z285" s="19">
        <f aca="true" t="shared" si="25" ref="Z285:Z290">IF(AD285=0,J285,0)</f>
        <v>0</v>
      </c>
      <c r="AA285" s="19">
        <f aca="true" t="shared" si="26" ref="AA285:AA290">IF(AD285=15,J285,0)</f>
        <v>0</v>
      </c>
      <c r="AB285" s="19">
        <f aca="true" t="shared" si="27" ref="AB285:AB290">IF(AD285=21,J285,0)</f>
        <v>0</v>
      </c>
      <c r="AD285" s="33">
        <v>21</v>
      </c>
      <c r="AE285" s="33">
        <f aca="true" t="shared" si="28" ref="AE285:AE290">G285*1</f>
        <v>0</v>
      </c>
      <c r="AF285" s="33">
        <f aca="true" t="shared" si="29" ref="AF285:AF290">G285*(1-1)</f>
        <v>0</v>
      </c>
      <c r="AM285" s="33">
        <f aca="true" t="shared" si="30" ref="AM285:AM290">F285*AE285</f>
        <v>0</v>
      </c>
      <c r="AN285" s="33">
        <f aca="true" t="shared" si="31" ref="AN285:AN290">F285*AF285</f>
        <v>0</v>
      </c>
      <c r="AO285" s="34" t="s">
        <v>843</v>
      </c>
      <c r="AP285" s="34" t="s">
        <v>864</v>
      </c>
      <c r="AQ285" s="26" t="s">
        <v>866</v>
      </c>
    </row>
    <row r="286" spans="1:43" ht="12.75">
      <c r="A286" s="5" t="s">
        <v>129</v>
      </c>
      <c r="B286" s="5" t="s">
        <v>200</v>
      </c>
      <c r="C286" s="5" t="s">
        <v>328</v>
      </c>
      <c r="D286" s="5" t="s">
        <v>673</v>
      </c>
      <c r="E286" s="5" t="s">
        <v>781</v>
      </c>
      <c r="F286" s="19">
        <v>5</v>
      </c>
      <c r="G286" s="19"/>
      <c r="H286" s="19">
        <f t="shared" si="20"/>
        <v>0</v>
      </c>
      <c r="I286" s="19">
        <f t="shared" si="21"/>
        <v>0</v>
      </c>
      <c r="J286" s="19">
        <f t="shared" si="22"/>
        <v>0</v>
      </c>
      <c r="K286" s="19">
        <v>0.012</v>
      </c>
      <c r="L286" s="19">
        <f t="shared" si="23"/>
        <v>0.06</v>
      </c>
      <c r="M286" s="30" t="s">
        <v>804</v>
      </c>
      <c r="N286" s="30" t="s">
        <v>805</v>
      </c>
      <c r="O286" s="19">
        <f t="shared" si="24"/>
        <v>0</v>
      </c>
      <c r="Z286" s="19">
        <f t="shared" si="25"/>
        <v>0</v>
      </c>
      <c r="AA286" s="19">
        <f t="shared" si="26"/>
        <v>0</v>
      </c>
      <c r="AB286" s="19">
        <f t="shared" si="27"/>
        <v>0</v>
      </c>
      <c r="AD286" s="33">
        <v>21</v>
      </c>
      <c r="AE286" s="33">
        <f t="shared" si="28"/>
        <v>0</v>
      </c>
      <c r="AF286" s="33">
        <f t="shared" si="29"/>
        <v>0</v>
      </c>
      <c r="AM286" s="33">
        <f t="shared" si="30"/>
        <v>0</v>
      </c>
      <c r="AN286" s="33">
        <f t="shared" si="31"/>
        <v>0</v>
      </c>
      <c r="AO286" s="34" t="s">
        <v>843</v>
      </c>
      <c r="AP286" s="34" t="s">
        <v>864</v>
      </c>
      <c r="AQ286" s="26" t="s">
        <v>866</v>
      </c>
    </row>
    <row r="287" spans="1:43" ht="12.75">
      <c r="A287" s="5" t="s">
        <v>130</v>
      </c>
      <c r="B287" s="5" t="s">
        <v>200</v>
      </c>
      <c r="C287" s="5" t="s">
        <v>329</v>
      </c>
      <c r="D287" s="5" t="s">
        <v>674</v>
      </c>
      <c r="E287" s="5" t="s">
        <v>781</v>
      </c>
      <c r="F287" s="19">
        <v>2</v>
      </c>
      <c r="G287" s="19"/>
      <c r="H287" s="19">
        <f t="shared" si="20"/>
        <v>0</v>
      </c>
      <c r="I287" s="19">
        <f t="shared" si="21"/>
        <v>0</v>
      </c>
      <c r="J287" s="19">
        <f t="shared" si="22"/>
        <v>0</v>
      </c>
      <c r="K287" s="19">
        <v>0.00883</v>
      </c>
      <c r="L287" s="19">
        <f t="shared" si="23"/>
        <v>0.01766</v>
      </c>
      <c r="M287" s="30" t="s">
        <v>804</v>
      </c>
      <c r="N287" s="30" t="s">
        <v>805</v>
      </c>
      <c r="O287" s="19">
        <f t="shared" si="24"/>
        <v>0</v>
      </c>
      <c r="Z287" s="19">
        <f t="shared" si="25"/>
        <v>0</v>
      </c>
      <c r="AA287" s="19">
        <f t="shared" si="26"/>
        <v>0</v>
      </c>
      <c r="AB287" s="19">
        <f t="shared" si="27"/>
        <v>0</v>
      </c>
      <c r="AD287" s="33">
        <v>21</v>
      </c>
      <c r="AE287" s="33">
        <f t="shared" si="28"/>
        <v>0</v>
      </c>
      <c r="AF287" s="33">
        <f t="shared" si="29"/>
        <v>0</v>
      </c>
      <c r="AM287" s="33">
        <f t="shared" si="30"/>
        <v>0</v>
      </c>
      <c r="AN287" s="33">
        <f t="shared" si="31"/>
        <v>0</v>
      </c>
      <c r="AO287" s="34" t="s">
        <v>843</v>
      </c>
      <c r="AP287" s="34" t="s">
        <v>864</v>
      </c>
      <c r="AQ287" s="26" t="s">
        <v>866</v>
      </c>
    </row>
    <row r="288" spans="1:43" ht="12.75">
      <c r="A288" s="5" t="s">
        <v>131</v>
      </c>
      <c r="B288" s="5" t="s">
        <v>200</v>
      </c>
      <c r="C288" s="5" t="s">
        <v>330</v>
      </c>
      <c r="D288" s="5" t="s">
        <v>675</v>
      </c>
      <c r="E288" s="5" t="s">
        <v>781</v>
      </c>
      <c r="F288" s="19">
        <v>1</v>
      </c>
      <c r="G288" s="19"/>
      <c r="H288" s="19">
        <f t="shared" si="20"/>
        <v>0</v>
      </c>
      <c r="I288" s="19">
        <f t="shared" si="21"/>
        <v>0</v>
      </c>
      <c r="J288" s="19">
        <f t="shared" si="22"/>
        <v>0</v>
      </c>
      <c r="K288" s="19">
        <v>0.00893</v>
      </c>
      <c r="L288" s="19">
        <f t="shared" si="23"/>
        <v>0.00893</v>
      </c>
      <c r="M288" s="30" t="s">
        <v>804</v>
      </c>
      <c r="N288" s="30" t="s">
        <v>805</v>
      </c>
      <c r="O288" s="19">
        <f t="shared" si="24"/>
        <v>0</v>
      </c>
      <c r="Z288" s="19">
        <f t="shared" si="25"/>
        <v>0</v>
      </c>
      <c r="AA288" s="19">
        <f t="shared" si="26"/>
        <v>0</v>
      </c>
      <c r="AB288" s="19">
        <f t="shared" si="27"/>
        <v>0</v>
      </c>
      <c r="AD288" s="33">
        <v>21</v>
      </c>
      <c r="AE288" s="33">
        <f t="shared" si="28"/>
        <v>0</v>
      </c>
      <c r="AF288" s="33">
        <f t="shared" si="29"/>
        <v>0</v>
      </c>
      <c r="AM288" s="33">
        <f t="shared" si="30"/>
        <v>0</v>
      </c>
      <c r="AN288" s="33">
        <f t="shared" si="31"/>
        <v>0</v>
      </c>
      <c r="AO288" s="34" t="s">
        <v>843</v>
      </c>
      <c r="AP288" s="34" t="s">
        <v>864</v>
      </c>
      <c r="AQ288" s="26" t="s">
        <v>866</v>
      </c>
    </row>
    <row r="289" spans="1:43" ht="12.75">
      <c r="A289" s="5" t="s">
        <v>132</v>
      </c>
      <c r="B289" s="5" t="s">
        <v>200</v>
      </c>
      <c r="C289" s="5" t="s">
        <v>331</v>
      </c>
      <c r="D289" s="5" t="s">
        <v>676</v>
      </c>
      <c r="E289" s="5" t="s">
        <v>781</v>
      </c>
      <c r="F289" s="19">
        <v>5</v>
      </c>
      <c r="G289" s="19"/>
      <c r="H289" s="19">
        <f t="shared" si="20"/>
        <v>0</v>
      </c>
      <c r="I289" s="19">
        <f t="shared" si="21"/>
        <v>0</v>
      </c>
      <c r="J289" s="19">
        <f t="shared" si="22"/>
        <v>0</v>
      </c>
      <c r="K289" s="19">
        <v>0.029</v>
      </c>
      <c r="L289" s="19">
        <f t="shared" si="23"/>
        <v>0.14500000000000002</v>
      </c>
      <c r="M289" s="30" t="s">
        <v>804</v>
      </c>
      <c r="N289" s="30" t="s">
        <v>805</v>
      </c>
      <c r="O289" s="19">
        <f t="shared" si="24"/>
        <v>0</v>
      </c>
      <c r="Z289" s="19">
        <f t="shared" si="25"/>
        <v>0</v>
      </c>
      <c r="AA289" s="19">
        <f t="shared" si="26"/>
        <v>0</v>
      </c>
      <c r="AB289" s="19">
        <f t="shared" si="27"/>
        <v>0</v>
      </c>
      <c r="AD289" s="33">
        <v>21</v>
      </c>
      <c r="AE289" s="33">
        <f t="shared" si="28"/>
        <v>0</v>
      </c>
      <c r="AF289" s="33">
        <f t="shared" si="29"/>
        <v>0</v>
      </c>
      <c r="AM289" s="33">
        <f t="shared" si="30"/>
        <v>0</v>
      </c>
      <c r="AN289" s="33">
        <f t="shared" si="31"/>
        <v>0</v>
      </c>
      <c r="AO289" s="34" t="s">
        <v>843</v>
      </c>
      <c r="AP289" s="34" t="s">
        <v>864</v>
      </c>
      <c r="AQ289" s="26" t="s">
        <v>866</v>
      </c>
    </row>
    <row r="290" spans="1:43" ht="12.75">
      <c r="A290" s="5" t="s">
        <v>133</v>
      </c>
      <c r="B290" s="5" t="s">
        <v>200</v>
      </c>
      <c r="C290" s="5" t="s">
        <v>332</v>
      </c>
      <c r="D290" s="5" t="s">
        <v>677</v>
      </c>
      <c r="E290" s="5" t="s">
        <v>781</v>
      </c>
      <c r="F290" s="19">
        <v>1</v>
      </c>
      <c r="G290" s="19"/>
      <c r="H290" s="19">
        <f t="shared" si="20"/>
        <v>0</v>
      </c>
      <c r="I290" s="19">
        <f t="shared" si="21"/>
        <v>0</v>
      </c>
      <c r="J290" s="19">
        <f t="shared" si="22"/>
        <v>0</v>
      </c>
      <c r="K290" s="19">
        <v>1.8</v>
      </c>
      <c r="L290" s="19">
        <f t="shared" si="23"/>
        <v>1.8</v>
      </c>
      <c r="M290" s="30"/>
      <c r="N290" s="30" t="s">
        <v>805</v>
      </c>
      <c r="O290" s="19">
        <f t="shared" si="24"/>
        <v>0</v>
      </c>
      <c r="Z290" s="19">
        <f t="shared" si="25"/>
        <v>0</v>
      </c>
      <c r="AA290" s="19">
        <f t="shared" si="26"/>
        <v>0</v>
      </c>
      <c r="AB290" s="19">
        <f t="shared" si="27"/>
        <v>0</v>
      </c>
      <c r="AD290" s="33">
        <v>21</v>
      </c>
      <c r="AE290" s="33">
        <f t="shared" si="28"/>
        <v>0</v>
      </c>
      <c r="AF290" s="33">
        <f t="shared" si="29"/>
        <v>0</v>
      </c>
      <c r="AM290" s="33">
        <f t="shared" si="30"/>
        <v>0</v>
      </c>
      <c r="AN290" s="33">
        <f t="shared" si="31"/>
        <v>0</v>
      </c>
      <c r="AO290" s="34" t="s">
        <v>843</v>
      </c>
      <c r="AP290" s="34" t="s">
        <v>864</v>
      </c>
      <c r="AQ290" s="26" t="s">
        <v>866</v>
      </c>
    </row>
    <row r="291" spans="4:6" ht="12.75">
      <c r="D291" s="13" t="s">
        <v>678</v>
      </c>
      <c r="F291" s="18">
        <v>0</v>
      </c>
    </row>
    <row r="292" spans="1:43" ht="12.75">
      <c r="A292" s="5" t="s">
        <v>134</v>
      </c>
      <c r="B292" s="5" t="s">
        <v>200</v>
      </c>
      <c r="C292" s="5" t="s">
        <v>333</v>
      </c>
      <c r="D292" s="5" t="s">
        <v>679</v>
      </c>
      <c r="E292" s="5" t="s">
        <v>781</v>
      </c>
      <c r="F292" s="19">
        <v>1</v>
      </c>
      <c r="G292" s="19"/>
      <c r="H292" s="19">
        <f>F292*AE292</f>
        <v>0</v>
      </c>
      <c r="I292" s="19">
        <f>J292-H292</f>
        <v>0</v>
      </c>
      <c r="J292" s="19">
        <f>F292*G292</f>
        <v>0</v>
      </c>
      <c r="K292" s="19">
        <v>0.3</v>
      </c>
      <c r="L292" s="19">
        <f>F292*K292</f>
        <v>0.3</v>
      </c>
      <c r="M292" s="30"/>
      <c r="N292" s="30" t="s">
        <v>805</v>
      </c>
      <c r="O292" s="19">
        <f>IF(N292="5",I292,0)</f>
        <v>0</v>
      </c>
      <c r="Z292" s="19">
        <f>IF(AD292=0,J292,0)</f>
        <v>0</v>
      </c>
      <c r="AA292" s="19">
        <f>IF(AD292=15,J292,0)</f>
        <v>0</v>
      </c>
      <c r="AB292" s="19">
        <f>IF(AD292=21,J292,0)</f>
        <v>0</v>
      </c>
      <c r="AD292" s="33">
        <v>21</v>
      </c>
      <c r="AE292" s="33">
        <f>G292*1</f>
        <v>0</v>
      </c>
      <c r="AF292" s="33">
        <f>G292*(1-1)</f>
        <v>0</v>
      </c>
      <c r="AM292" s="33">
        <f>F292*AE292</f>
        <v>0</v>
      </c>
      <c r="AN292" s="33">
        <f>F292*AF292</f>
        <v>0</v>
      </c>
      <c r="AO292" s="34" t="s">
        <v>843</v>
      </c>
      <c r="AP292" s="34" t="s">
        <v>864</v>
      </c>
      <c r="AQ292" s="26" t="s">
        <v>866</v>
      </c>
    </row>
    <row r="293" spans="1:43" ht="12.75">
      <c r="A293" s="5" t="s">
        <v>135</v>
      </c>
      <c r="B293" s="5" t="s">
        <v>200</v>
      </c>
      <c r="C293" s="5" t="s">
        <v>334</v>
      </c>
      <c r="D293" s="5" t="s">
        <v>680</v>
      </c>
      <c r="E293" s="5" t="s">
        <v>781</v>
      </c>
      <c r="F293" s="19">
        <v>1</v>
      </c>
      <c r="G293" s="19"/>
      <c r="H293" s="19">
        <f>F293*AE293</f>
        <v>0</v>
      </c>
      <c r="I293" s="19">
        <f>J293-H293</f>
        <v>0</v>
      </c>
      <c r="J293" s="19">
        <f>F293*G293</f>
        <v>0</v>
      </c>
      <c r="K293" s="19">
        <v>0.05</v>
      </c>
      <c r="L293" s="19">
        <f>F293*K293</f>
        <v>0.05</v>
      </c>
      <c r="M293" s="30"/>
      <c r="N293" s="30" t="s">
        <v>805</v>
      </c>
      <c r="O293" s="19">
        <f>IF(N293="5",I293,0)</f>
        <v>0</v>
      </c>
      <c r="Z293" s="19">
        <f>IF(AD293=0,J293,0)</f>
        <v>0</v>
      </c>
      <c r="AA293" s="19">
        <f>IF(AD293=15,J293,0)</f>
        <v>0</v>
      </c>
      <c r="AB293" s="19">
        <f>IF(AD293=21,J293,0)</f>
        <v>0</v>
      </c>
      <c r="AD293" s="33">
        <v>21</v>
      </c>
      <c r="AE293" s="33">
        <f>G293*1</f>
        <v>0</v>
      </c>
      <c r="AF293" s="33">
        <f>G293*(1-1)</f>
        <v>0</v>
      </c>
      <c r="AM293" s="33">
        <f>F293*AE293</f>
        <v>0</v>
      </c>
      <c r="AN293" s="33">
        <f>F293*AF293</f>
        <v>0</v>
      </c>
      <c r="AO293" s="34" t="s">
        <v>843</v>
      </c>
      <c r="AP293" s="34" t="s">
        <v>864</v>
      </c>
      <c r="AQ293" s="26" t="s">
        <v>866</v>
      </c>
    </row>
    <row r="294" spans="1:43" ht="12.75">
      <c r="A294" s="4" t="s">
        <v>136</v>
      </c>
      <c r="B294" s="4" t="s">
        <v>200</v>
      </c>
      <c r="C294" s="4" t="s">
        <v>335</v>
      </c>
      <c r="D294" s="4" t="s">
        <v>681</v>
      </c>
      <c r="E294" s="4" t="s">
        <v>781</v>
      </c>
      <c r="F294" s="17">
        <v>5</v>
      </c>
      <c r="G294" s="17"/>
      <c r="H294" s="17">
        <f>F294*AE294</f>
        <v>0</v>
      </c>
      <c r="I294" s="17">
        <f>J294-H294</f>
        <v>0</v>
      </c>
      <c r="J294" s="17">
        <f>F294*G294</f>
        <v>0</v>
      </c>
      <c r="K294" s="17">
        <v>2.20898</v>
      </c>
      <c r="L294" s="17">
        <f>F294*K294</f>
        <v>11.0449</v>
      </c>
      <c r="M294" s="29" t="s">
        <v>804</v>
      </c>
      <c r="N294" s="29" t="s">
        <v>7</v>
      </c>
      <c r="O294" s="17">
        <f>IF(N294="5",I294,0)</f>
        <v>0</v>
      </c>
      <c r="Z294" s="17">
        <f>IF(AD294=0,J294,0)</f>
        <v>0</v>
      </c>
      <c r="AA294" s="17">
        <f>IF(AD294=15,J294,0)</f>
        <v>0</v>
      </c>
      <c r="AB294" s="17">
        <f>IF(AD294=21,J294,0)</f>
        <v>0</v>
      </c>
      <c r="AD294" s="33">
        <v>21</v>
      </c>
      <c r="AE294" s="33">
        <f>G294*0.302695736434109</f>
        <v>0</v>
      </c>
      <c r="AF294" s="33">
        <f>G294*(1-0.302695736434109)</f>
        <v>0</v>
      </c>
      <c r="AM294" s="33">
        <f>F294*AE294</f>
        <v>0</v>
      </c>
      <c r="AN294" s="33">
        <f>F294*AF294</f>
        <v>0</v>
      </c>
      <c r="AO294" s="34" t="s">
        <v>843</v>
      </c>
      <c r="AP294" s="34" t="s">
        <v>864</v>
      </c>
      <c r="AQ294" s="26" t="s">
        <v>866</v>
      </c>
    </row>
    <row r="295" spans="4:6" ht="12.75">
      <c r="D295" s="13" t="s">
        <v>682</v>
      </c>
      <c r="F295" s="18">
        <v>0</v>
      </c>
    </row>
    <row r="296" spans="4:6" ht="12.75">
      <c r="D296" s="13" t="s">
        <v>683</v>
      </c>
      <c r="F296" s="18">
        <v>0</v>
      </c>
    </row>
    <row r="297" spans="1:43" ht="12.75">
      <c r="A297" s="4" t="s">
        <v>137</v>
      </c>
      <c r="B297" s="4" t="s">
        <v>200</v>
      </c>
      <c r="C297" s="4" t="s">
        <v>336</v>
      </c>
      <c r="D297" s="4" t="s">
        <v>684</v>
      </c>
      <c r="E297" s="4" t="s">
        <v>781</v>
      </c>
      <c r="F297" s="17">
        <v>5</v>
      </c>
      <c r="G297" s="17"/>
      <c r="H297" s="17">
        <f aca="true" t="shared" si="32" ref="H297:H306">F297*AE297</f>
        <v>0</v>
      </c>
      <c r="I297" s="17">
        <f aca="true" t="shared" si="33" ref="I297:I306">J297-H297</f>
        <v>0</v>
      </c>
      <c r="J297" s="17">
        <f aca="true" t="shared" si="34" ref="J297:J306">F297*G297</f>
        <v>0</v>
      </c>
      <c r="K297" s="17">
        <v>0.00702</v>
      </c>
      <c r="L297" s="17">
        <f aca="true" t="shared" si="35" ref="L297:L306">F297*K297</f>
        <v>0.0351</v>
      </c>
      <c r="M297" s="29" t="s">
        <v>804</v>
      </c>
      <c r="N297" s="29" t="s">
        <v>7</v>
      </c>
      <c r="O297" s="17">
        <f aca="true" t="shared" si="36" ref="O297:O306">IF(N297="5",I297,0)</f>
        <v>0</v>
      </c>
      <c r="Z297" s="17">
        <f aca="true" t="shared" si="37" ref="Z297:Z306">IF(AD297=0,J297,0)</f>
        <v>0</v>
      </c>
      <c r="AA297" s="17">
        <f aca="true" t="shared" si="38" ref="AA297:AA306">IF(AD297=15,J297,0)</f>
        <v>0</v>
      </c>
      <c r="AB297" s="17">
        <f aca="true" t="shared" si="39" ref="AB297:AB306">IF(AD297=21,J297,0)</f>
        <v>0</v>
      </c>
      <c r="AD297" s="33">
        <v>21</v>
      </c>
      <c r="AE297" s="33">
        <f>G297*0.0149638989169675</f>
        <v>0</v>
      </c>
      <c r="AF297" s="33">
        <f>G297*(1-0.0149638989169675)</f>
        <v>0</v>
      </c>
      <c r="AM297" s="33">
        <f aca="true" t="shared" si="40" ref="AM297:AM306">F297*AE297</f>
        <v>0</v>
      </c>
      <c r="AN297" s="33">
        <f aca="true" t="shared" si="41" ref="AN297:AN306">F297*AF297</f>
        <v>0</v>
      </c>
      <c r="AO297" s="34" t="s">
        <v>843</v>
      </c>
      <c r="AP297" s="34" t="s">
        <v>864</v>
      </c>
      <c r="AQ297" s="26" t="s">
        <v>866</v>
      </c>
    </row>
    <row r="298" spans="1:43" ht="12.75">
      <c r="A298" s="5" t="s">
        <v>138</v>
      </c>
      <c r="B298" s="5" t="s">
        <v>200</v>
      </c>
      <c r="C298" s="5" t="s">
        <v>337</v>
      </c>
      <c r="D298" s="5" t="s">
        <v>685</v>
      </c>
      <c r="E298" s="5" t="s">
        <v>781</v>
      </c>
      <c r="F298" s="19">
        <v>4</v>
      </c>
      <c r="G298" s="19"/>
      <c r="H298" s="19">
        <f t="shared" si="32"/>
        <v>0</v>
      </c>
      <c r="I298" s="19">
        <f t="shared" si="33"/>
        <v>0</v>
      </c>
      <c r="J298" s="19">
        <f t="shared" si="34"/>
        <v>0</v>
      </c>
      <c r="K298" s="19">
        <v>0.585</v>
      </c>
      <c r="L298" s="19">
        <f t="shared" si="35"/>
        <v>2.34</v>
      </c>
      <c r="M298" s="30" t="s">
        <v>804</v>
      </c>
      <c r="N298" s="30" t="s">
        <v>805</v>
      </c>
      <c r="O298" s="19">
        <f t="shared" si="36"/>
        <v>0</v>
      </c>
      <c r="Z298" s="19">
        <f t="shared" si="37"/>
        <v>0</v>
      </c>
      <c r="AA298" s="19">
        <f t="shared" si="38"/>
        <v>0</v>
      </c>
      <c r="AB298" s="19">
        <f t="shared" si="39"/>
        <v>0</v>
      </c>
      <c r="AD298" s="33">
        <v>21</v>
      </c>
      <c r="AE298" s="33">
        <f aca="true" t="shared" si="42" ref="AE298:AE304">G298*1</f>
        <v>0</v>
      </c>
      <c r="AF298" s="33">
        <f aca="true" t="shared" si="43" ref="AF298:AF304">G298*(1-1)</f>
        <v>0</v>
      </c>
      <c r="AM298" s="33">
        <f t="shared" si="40"/>
        <v>0</v>
      </c>
      <c r="AN298" s="33">
        <f t="shared" si="41"/>
        <v>0</v>
      </c>
      <c r="AO298" s="34" t="s">
        <v>843</v>
      </c>
      <c r="AP298" s="34" t="s">
        <v>864</v>
      </c>
      <c r="AQ298" s="26" t="s">
        <v>866</v>
      </c>
    </row>
    <row r="299" spans="1:43" ht="12.75">
      <c r="A299" s="5" t="s">
        <v>139</v>
      </c>
      <c r="B299" s="5" t="s">
        <v>200</v>
      </c>
      <c r="C299" s="5" t="s">
        <v>338</v>
      </c>
      <c r="D299" s="5" t="s">
        <v>686</v>
      </c>
      <c r="E299" s="5" t="s">
        <v>781</v>
      </c>
      <c r="F299" s="19">
        <v>2</v>
      </c>
      <c r="G299" s="19"/>
      <c r="H299" s="19">
        <f t="shared" si="32"/>
        <v>0</v>
      </c>
      <c r="I299" s="19">
        <f t="shared" si="33"/>
        <v>0</v>
      </c>
      <c r="J299" s="19">
        <f t="shared" si="34"/>
        <v>0</v>
      </c>
      <c r="K299" s="19">
        <v>0.25</v>
      </c>
      <c r="L299" s="19">
        <f t="shared" si="35"/>
        <v>0.5</v>
      </c>
      <c r="M299" s="30" t="s">
        <v>804</v>
      </c>
      <c r="N299" s="30" t="s">
        <v>805</v>
      </c>
      <c r="O299" s="19">
        <f t="shared" si="36"/>
        <v>0</v>
      </c>
      <c r="Z299" s="19">
        <f t="shared" si="37"/>
        <v>0</v>
      </c>
      <c r="AA299" s="19">
        <f t="shared" si="38"/>
        <v>0</v>
      </c>
      <c r="AB299" s="19">
        <f t="shared" si="39"/>
        <v>0</v>
      </c>
      <c r="AD299" s="33">
        <v>21</v>
      </c>
      <c r="AE299" s="33">
        <f t="shared" si="42"/>
        <v>0</v>
      </c>
      <c r="AF299" s="33">
        <f t="shared" si="43"/>
        <v>0</v>
      </c>
      <c r="AM299" s="33">
        <f t="shared" si="40"/>
        <v>0</v>
      </c>
      <c r="AN299" s="33">
        <f t="shared" si="41"/>
        <v>0</v>
      </c>
      <c r="AO299" s="34" t="s">
        <v>843</v>
      </c>
      <c r="AP299" s="34" t="s">
        <v>864</v>
      </c>
      <c r="AQ299" s="26" t="s">
        <v>866</v>
      </c>
    </row>
    <row r="300" spans="1:43" ht="12.75">
      <c r="A300" s="5" t="s">
        <v>140</v>
      </c>
      <c r="B300" s="5" t="s">
        <v>200</v>
      </c>
      <c r="C300" s="5" t="s">
        <v>339</v>
      </c>
      <c r="D300" s="5" t="s">
        <v>687</v>
      </c>
      <c r="E300" s="5" t="s">
        <v>781</v>
      </c>
      <c r="F300" s="19">
        <v>2</v>
      </c>
      <c r="G300" s="19"/>
      <c r="H300" s="19">
        <f t="shared" si="32"/>
        <v>0</v>
      </c>
      <c r="I300" s="19">
        <f t="shared" si="33"/>
        <v>0</v>
      </c>
      <c r="J300" s="19">
        <f t="shared" si="34"/>
        <v>0</v>
      </c>
      <c r="K300" s="19">
        <v>0.5</v>
      </c>
      <c r="L300" s="19">
        <f t="shared" si="35"/>
        <v>1</v>
      </c>
      <c r="M300" s="30" t="s">
        <v>804</v>
      </c>
      <c r="N300" s="30" t="s">
        <v>805</v>
      </c>
      <c r="O300" s="19">
        <f t="shared" si="36"/>
        <v>0</v>
      </c>
      <c r="Z300" s="19">
        <f t="shared" si="37"/>
        <v>0</v>
      </c>
      <c r="AA300" s="19">
        <f t="shared" si="38"/>
        <v>0</v>
      </c>
      <c r="AB300" s="19">
        <f t="shared" si="39"/>
        <v>0</v>
      </c>
      <c r="AD300" s="33">
        <v>21</v>
      </c>
      <c r="AE300" s="33">
        <f t="shared" si="42"/>
        <v>0</v>
      </c>
      <c r="AF300" s="33">
        <f t="shared" si="43"/>
        <v>0</v>
      </c>
      <c r="AM300" s="33">
        <f t="shared" si="40"/>
        <v>0</v>
      </c>
      <c r="AN300" s="33">
        <f t="shared" si="41"/>
        <v>0</v>
      </c>
      <c r="AO300" s="34" t="s">
        <v>843</v>
      </c>
      <c r="AP300" s="34" t="s">
        <v>864</v>
      </c>
      <c r="AQ300" s="26" t="s">
        <v>866</v>
      </c>
    </row>
    <row r="301" spans="1:43" ht="12.75">
      <c r="A301" s="5" t="s">
        <v>141</v>
      </c>
      <c r="B301" s="5" t="s">
        <v>200</v>
      </c>
      <c r="C301" s="5" t="s">
        <v>340</v>
      </c>
      <c r="D301" s="5" t="s">
        <v>688</v>
      </c>
      <c r="E301" s="5" t="s">
        <v>781</v>
      </c>
      <c r="F301" s="19">
        <v>4</v>
      </c>
      <c r="G301" s="19"/>
      <c r="H301" s="19">
        <f t="shared" si="32"/>
        <v>0</v>
      </c>
      <c r="I301" s="19">
        <f t="shared" si="33"/>
        <v>0</v>
      </c>
      <c r="J301" s="19">
        <f t="shared" si="34"/>
        <v>0</v>
      </c>
      <c r="K301" s="19">
        <v>1</v>
      </c>
      <c r="L301" s="19">
        <f t="shared" si="35"/>
        <v>4</v>
      </c>
      <c r="M301" s="30" t="s">
        <v>804</v>
      </c>
      <c r="N301" s="30" t="s">
        <v>805</v>
      </c>
      <c r="O301" s="19">
        <f t="shared" si="36"/>
        <v>0</v>
      </c>
      <c r="Z301" s="19">
        <f t="shared" si="37"/>
        <v>0</v>
      </c>
      <c r="AA301" s="19">
        <f t="shared" si="38"/>
        <v>0</v>
      </c>
      <c r="AB301" s="19">
        <f t="shared" si="39"/>
        <v>0</v>
      </c>
      <c r="AD301" s="33">
        <v>21</v>
      </c>
      <c r="AE301" s="33">
        <f t="shared" si="42"/>
        <v>0</v>
      </c>
      <c r="AF301" s="33">
        <f t="shared" si="43"/>
        <v>0</v>
      </c>
      <c r="AM301" s="33">
        <f t="shared" si="40"/>
        <v>0</v>
      </c>
      <c r="AN301" s="33">
        <f t="shared" si="41"/>
        <v>0</v>
      </c>
      <c r="AO301" s="34" t="s">
        <v>843</v>
      </c>
      <c r="AP301" s="34" t="s">
        <v>864</v>
      </c>
      <c r="AQ301" s="26" t="s">
        <v>866</v>
      </c>
    </row>
    <row r="302" spans="1:43" ht="12.75">
      <c r="A302" s="5" t="s">
        <v>142</v>
      </c>
      <c r="B302" s="5" t="s">
        <v>200</v>
      </c>
      <c r="C302" s="5" t="s">
        <v>341</v>
      </c>
      <c r="D302" s="5" t="s">
        <v>689</v>
      </c>
      <c r="E302" s="5" t="s">
        <v>781</v>
      </c>
      <c r="F302" s="19">
        <v>3</v>
      </c>
      <c r="G302" s="19"/>
      <c r="H302" s="19">
        <f t="shared" si="32"/>
        <v>0</v>
      </c>
      <c r="I302" s="19">
        <f t="shared" si="33"/>
        <v>0</v>
      </c>
      <c r="J302" s="19">
        <f t="shared" si="34"/>
        <v>0</v>
      </c>
      <c r="K302" s="19">
        <v>1.6</v>
      </c>
      <c r="L302" s="19">
        <f t="shared" si="35"/>
        <v>4.800000000000001</v>
      </c>
      <c r="M302" s="30" t="s">
        <v>804</v>
      </c>
      <c r="N302" s="30" t="s">
        <v>805</v>
      </c>
      <c r="O302" s="19">
        <f t="shared" si="36"/>
        <v>0</v>
      </c>
      <c r="Z302" s="19">
        <f t="shared" si="37"/>
        <v>0</v>
      </c>
      <c r="AA302" s="19">
        <f t="shared" si="38"/>
        <v>0</v>
      </c>
      <c r="AB302" s="19">
        <f t="shared" si="39"/>
        <v>0</v>
      </c>
      <c r="AD302" s="33">
        <v>21</v>
      </c>
      <c r="AE302" s="33">
        <f t="shared" si="42"/>
        <v>0</v>
      </c>
      <c r="AF302" s="33">
        <f t="shared" si="43"/>
        <v>0</v>
      </c>
      <c r="AM302" s="33">
        <f t="shared" si="40"/>
        <v>0</v>
      </c>
      <c r="AN302" s="33">
        <f t="shared" si="41"/>
        <v>0</v>
      </c>
      <c r="AO302" s="34" t="s">
        <v>843</v>
      </c>
      <c r="AP302" s="34" t="s">
        <v>864</v>
      </c>
      <c r="AQ302" s="26" t="s">
        <v>866</v>
      </c>
    </row>
    <row r="303" spans="1:43" ht="12.75">
      <c r="A303" s="5" t="s">
        <v>143</v>
      </c>
      <c r="B303" s="5" t="s">
        <v>200</v>
      </c>
      <c r="C303" s="5" t="s">
        <v>342</v>
      </c>
      <c r="D303" s="5" t="s">
        <v>690</v>
      </c>
      <c r="E303" s="5" t="s">
        <v>781</v>
      </c>
      <c r="F303" s="19">
        <v>1</v>
      </c>
      <c r="G303" s="19"/>
      <c r="H303" s="19">
        <f t="shared" si="32"/>
        <v>0</v>
      </c>
      <c r="I303" s="19">
        <f t="shared" si="33"/>
        <v>0</v>
      </c>
      <c r="J303" s="19">
        <f t="shared" si="34"/>
        <v>0</v>
      </c>
      <c r="K303" s="19">
        <v>1.87</v>
      </c>
      <c r="L303" s="19">
        <f t="shared" si="35"/>
        <v>1.87</v>
      </c>
      <c r="M303" s="30" t="s">
        <v>804</v>
      </c>
      <c r="N303" s="30" t="s">
        <v>805</v>
      </c>
      <c r="O303" s="19">
        <f t="shared" si="36"/>
        <v>0</v>
      </c>
      <c r="Z303" s="19">
        <f t="shared" si="37"/>
        <v>0</v>
      </c>
      <c r="AA303" s="19">
        <f t="shared" si="38"/>
        <v>0</v>
      </c>
      <c r="AB303" s="19">
        <f t="shared" si="39"/>
        <v>0</v>
      </c>
      <c r="AD303" s="33">
        <v>21</v>
      </c>
      <c r="AE303" s="33">
        <f t="shared" si="42"/>
        <v>0</v>
      </c>
      <c r="AF303" s="33">
        <f t="shared" si="43"/>
        <v>0</v>
      </c>
      <c r="AM303" s="33">
        <f t="shared" si="40"/>
        <v>0</v>
      </c>
      <c r="AN303" s="33">
        <f t="shared" si="41"/>
        <v>0</v>
      </c>
      <c r="AO303" s="34" t="s">
        <v>843</v>
      </c>
      <c r="AP303" s="34" t="s">
        <v>864</v>
      </c>
      <c r="AQ303" s="26" t="s">
        <v>866</v>
      </c>
    </row>
    <row r="304" spans="1:43" ht="12.75">
      <c r="A304" s="5" t="s">
        <v>144</v>
      </c>
      <c r="B304" s="5" t="s">
        <v>200</v>
      </c>
      <c r="C304" s="5" t="s">
        <v>343</v>
      </c>
      <c r="D304" s="5" t="s">
        <v>691</v>
      </c>
      <c r="E304" s="5" t="s">
        <v>781</v>
      </c>
      <c r="F304" s="19">
        <v>4</v>
      </c>
      <c r="G304" s="19"/>
      <c r="H304" s="19">
        <f t="shared" si="32"/>
        <v>0</v>
      </c>
      <c r="I304" s="19">
        <f t="shared" si="33"/>
        <v>0</v>
      </c>
      <c r="J304" s="19">
        <f t="shared" si="34"/>
        <v>0</v>
      </c>
      <c r="K304" s="19">
        <v>0.165</v>
      </c>
      <c r="L304" s="19">
        <f t="shared" si="35"/>
        <v>0.66</v>
      </c>
      <c r="M304" s="30" t="s">
        <v>804</v>
      </c>
      <c r="N304" s="30" t="s">
        <v>805</v>
      </c>
      <c r="O304" s="19">
        <f t="shared" si="36"/>
        <v>0</v>
      </c>
      <c r="Z304" s="19">
        <f t="shared" si="37"/>
        <v>0</v>
      </c>
      <c r="AA304" s="19">
        <f t="shared" si="38"/>
        <v>0</v>
      </c>
      <c r="AB304" s="19">
        <f t="shared" si="39"/>
        <v>0</v>
      </c>
      <c r="AD304" s="33">
        <v>21</v>
      </c>
      <c r="AE304" s="33">
        <f t="shared" si="42"/>
        <v>0</v>
      </c>
      <c r="AF304" s="33">
        <f t="shared" si="43"/>
        <v>0</v>
      </c>
      <c r="AM304" s="33">
        <f t="shared" si="40"/>
        <v>0</v>
      </c>
      <c r="AN304" s="33">
        <f t="shared" si="41"/>
        <v>0</v>
      </c>
      <c r="AO304" s="34" t="s">
        <v>843</v>
      </c>
      <c r="AP304" s="34" t="s">
        <v>864</v>
      </c>
      <c r="AQ304" s="26" t="s">
        <v>866</v>
      </c>
    </row>
    <row r="305" spans="1:43" ht="12.75">
      <c r="A305" s="4" t="s">
        <v>145</v>
      </c>
      <c r="B305" s="4" t="s">
        <v>200</v>
      </c>
      <c r="C305" s="4" t="s">
        <v>344</v>
      </c>
      <c r="D305" s="4" t="s">
        <v>692</v>
      </c>
      <c r="E305" s="4" t="s">
        <v>781</v>
      </c>
      <c r="F305" s="17">
        <v>2</v>
      </c>
      <c r="G305" s="17"/>
      <c r="H305" s="17">
        <f t="shared" si="32"/>
        <v>0</v>
      </c>
      <c r="I305" s="17">
        <f t="shared" si="33"/>
        <v>0</v>
      </c>
      <c r="J305" s="17">
        <f t="shared" si="34"/>
        <v>0</v>
      </c>
      <c r="K305" s="17">
        <v>5.15111</v>
      </c>
      <c r="L305" s="17">
        <f t="shared" si="35"/>
        <v>10.30222</v>
      </c>
      <c r="M305" s="29" t="s">
        <v>804</v>
      </c>
      <c r="N305" s="29" t="s">
        <v>7</v>
      </c>
      <c r="O305" s="17">
        <f t="shared" si="36"/>
        <v>0</v>
      </c>
      <c r="Z305" s="17">
        <f t="shared" si="37"/>
        <v>0</v>
      </c>
      <c r="AA305" s="17">
        <f t="shared" si="38"/>
        <v>0</v>
      </c>
      <c r="AB305" s="17">
        <f t="shared" si="39"/>
        <v>0</v>
      </c>
      <c r="AD305" s="33">
        <v>21</v>
      </c>
      <c r="AE305" s="33">
        <f>G305*0.359840666249705</f>
        <v>0</v>
      </c>
      <c r="AF305" s="33">
        <f>G305*(1-0.359840666249705)</f>
        <v>0</v>
      </c>
      <c r="AM305" s="33">
        <f t="shared" si="40"/>
        <v>0</v>
      </c>
      <c r="AN305" s="33">
        <f t="shared" si="41"/>
        <v>0</v>
      </c>
      <c r="AO305" s="34" t="s">
        <v>843</v>
      </c>
      <c r="AP305" s="34" t="s">
        <v>864</v>
      </c>
      <c r="AQ305" s="26" t="s">
        <v>866</v>
      </c>
    </row>
    <row r="306" spans="1:43" ht="12.75">
      <c r="A306" s="4" t="s">
        <v>146</v>
      </c>
      <c r="B306" s="4" t="s">
        <v>200</v>
      </c>
      <c r="C306" s="4" t="s">
        <v>345</v>
      </c>
      <c r="D306" s="4" t="s">
        <v>693</v>
      </c>
      <c r="E306" s="4" t="s">
        <v>778</v>
      </c>
      <c r="F306" s="17">
        <v>0.47</v>
      </c>
      <c r="G306" s="17"/>
      <c r="H306" s="17">
        <f t="shared" si="32"/>
        <v>0</v>
      </c>
      <c r="I306" s="17">
        <f t="shared" si="33"/>
        <v>0</v>
      </c>
      <c r="J306" s="17">
        <f t="shared" si="34"/>
        <v>0</v>
      </c>
      <c r="K306" s="17">
        <v>2.55</v>
      </c>
      <c r="L306" s="17">
        <f t="shared" si="35"/>
        <v>1.1985</v>
      </c>
      <c r="M306" s="29" t="s">
        <v>804</v>
      </c>
      <c r="N306" s="29" t="s">
        <v>7</v>
      </c>
      <c r="O306" s="17">
        <f t="shared" si="36"/>
        <v>0</v>
      </c>
      <c r="Z306" s="17">
        <f t="shared" si="37"/>
        <v>0</v>
      </c>
      <c r="AA306" s="17">
        <f t="shared" si="38"/>
        <v>0</v>
      </c>
      <c r="AB306" s="17">
        <f t="shared" si="39"/>
        <v>0</v>
      </c>
      <c r="AD306" s="33">
        <v>21</v>
      </c>
      <c r="AE306" s="33">
        <f>G306*0.76666447368421</f>
        <v>0</v>
      </c>
      <c r="AF306" s="33">
        <f>G306*(1-0.76666447368421)</f>
        <v>0</v>
      </c>
      <c r="AM306" s="33">
        <f t="shared" si="40"/>
        <v>0</v>
      </c>
      <c r="AN306" s="33">
        <f t="shared" si="41"/>
        <v>0</v>
      </c>
      <c r="AO306" s="34" t="s">
        <v>843</v>
      </c>
      <c r="AP306" s="34" t="s">
        <v>864</v>
      </c>
      <c r="AQ306" s="26" t="s">
        <v>866</v>
      </c>
    </row>
    <row r="307" spans="4:6" ht="12.75">
      <c r="D307" s="13" t="s">
        <v>694</v>
      </c>
      <c r="F307" s="18">
        <v>0.47</v>
      </c>
    </row>
    <row r="308" spans="1:37" ht="12.75">
      <c r="A308" s="3"/>
      <c r="B308" s="11" t="s">
        <v>200</v>
      </c>
      <c r="C308" s="11" t="s">
        <v>96</v>
      </c>
      <c r="D308" s="79" t="s">
        <v>695</v>
      </c>
      <c r="E308" s="80"/>
      <c r="F308" s="80"/>
      <c r="G308" s="80"/>
      <c r="H308" s="35">
        <f>SUM(H309:H310)</f>
        <v>0</v>
      </c>
      <c r="I308" s="35">
        <f>SUM(I309:I310)</f>
        <v>0</v>
      </c>
      <c r="J308" s="35">
        <f>H308+I308</f>
        <v>0</v>
      </c>
      <c r="K308" s="26"/>
      <c r="L308" s="35">
        <f>SUM(L309:L310)</f>
        <v>0</v>
      </c>
      <c r="M308" s="26"/>
      <c r="P308" s="35">
        <f>IF(Q308="PR",J308,SUM(O309:O310))</f>
        <v>0</v>
      </c>
      <c r="Q308" s="26" t="s">
        <v>808</v>
      </c>
      <c r="R308" s="35">
        <f>IF(Q308="HS",H308,0)</f>
        <v>0</v>
      </c>
      <c r="S308" s="35">
        <f>IF(Q308="HS",I308-P308,0)</f>
        <v>0</v>
      </c>
      <c r="T308" s="35">
        <f>IF(Q308="PS",H308,0)</f>
        <v>0</v>
      </c>
      <c r="U308" s="35">
        <f>IF(Q308="PS",I308-P308,0)</f>
        <v>0</v>
      </c>
      <c r="V308" s="35">
        <f>IF(Q308="MP",H308,0)</f>
        <v>0</v>
      </c>
      <c r="W308" s="35">
        <f>IF(Q308="MP",I308-P308,0)</f>
        <v>0</v>
      </c>
      <c r="X308" s="35">
        <f>IF(Q308="OM",H308,0)</f>
        <v>0</v>
      </c>
      <c r="Y308" s="26" t="s">
        <v>200</v>
      </c>
      <c r="AI308" s="35">
        <f>SUM(Z309:Z310)</f>
        <v>0</v>
      </c>
      <c r="AJ308" s="35">
        <f>SUM(AA309:AA310)</f>
        <v>0</v>
      </c>
      <c r="AK308" s="35">
        <f>SUM(AB309:AB310)</f>
        <v>0</v>
      </c>
    </row>
    <row r="309" spans="1:43" ht="12.75">
      <c r="A309" s="4" t="s">
        <v>147</v>
      </c>
      <c r="B309" s="4" t="s">
        <v>200</v>
      </c>
      <c r="C309" s="4" t="s">
        <v>346</v>
      </c>
      <c r="D309" s="4" t="s">
        <v>696</v>
      </c>
      <c r="E309" s="4" t="s">
        <v>774</v>
      </c>
      <c r="F309" s="17">
        <v>16</v>
      </c>
      <c r="G309" s="17"/>
      <c r="H309" s="17">
        <f>F309*AE309</f>
        <v>0</v>
      </c>
      <c r="I309" s="17">
        <f>J309-H309</f>
        <v>0</v>
      </c>
      <c r="J309" s="17">
        <f>F309*G309</f>
        <v>0</v>
      </c>
      <c r="K309" s="17">
        <v>0</v>
      </c>
      <c r="L309" s="17">
        <f>F309*K309</f>
        <v>0</v>
      </c>
      <c r="M309" s="29"/>
      <c r="N309" s="29" t="s">
        <v>7</v>
      </c>
      <c r="O309" s="17">
        <f>IF(N309="5",I309,0)</f>
        <v>0</v>
      </c>
      <c r="Z309" s="17">
        <f>IF(AD309=0,J309,0)</f>
        <v>0</v>
      </c>
      <c r="AA309" s="17">
        <f>IF(AD309=15,J309,0)</f>
        <v>0</v>
      </c>
      <c r="AB309" s="17">
        <f>IF(AD309=21,J309,0)</f>
        <v>0</v>
      </c>
      <c r="AD309" s="33">
        <v>21</v>
      </c>
      <c r="AE309" s="33">
        <f>G309*0</f>
        <v>0</v>
      </c>
      <c r="AF309" s="33">
        <f>G309*(1-0)</f>
        <v>0</v>
      </c>
      <c r="AM309" s="33">
        <f>F309*AE309</f>
        <v>0</v>
      </c>
      <c r="AN309" s="33">
        <f>F309*AF309</f>
        <v>0</v>
      </c>
      <c r="AO309" s="34" t="s">
        <v>844</v>
      </c>
      <c r="AP309" s="34" t="s">
        <v>865</v>
      </c>
      <c r="AQ309" s="26" t="s">
        <v>866</v>
      </c>
    </row>
    <row r="310" spans="1:43" ht="12.75">
      <c r="A310" s="4" t="s">
        <v>148</v>
      </c>
      <c r="B310" s="4" t="s">
        <v>200</v>
      </c>
      <c r="C310" s="4" t="s">
        <v>347</v>
      </c>
      <c r="D310" s="4" t="s">
        <v>697</v>
      </c>
      <c r="E310" s="4" t="s">
        <v>774</v>
      </c>
      <c r="F310" s="17">
        <v>8</v>
      </c>
      <c r="G310" s="17"/>
      <c r="H310" s="17">
        <f>F310*AE310</f>
        <v>0</v>
      </c>
      <c r="I310" s="17">
        <f>J310-H310</f>
        <v>0</v>
      </c>
      <c r="J310" s="17">
        <f>F310*G310</f>
        <v>0</v>
      </c>
      <c r="K310" s="17">
        <v>0</v>
      </c>
      <c r="L310" s="17">
        <f>F310*K310</f>
        <v>0</v>
      </c>
      <c r="M310" s="29"/>
      <c r="N310" s="29" t="s">
        <v>7</v>
      </c>
      <c r="O310" s="17">
        <f>IF(N310="5",I310,0)</f>
        <v>0</v>
      </c>
      <c r="Z310" s="17">
        <f>IF(AD310=0,J310,0)</f>
        <v>0</v>
      </c>
      <c r="AA310" s="17">
        <f>IF(AD310=15,J310,0)</f>
        <v>0</v>
      </c>
      <c r="AB310" s="17">
        <f>IF(AD310=21,J310,0)</f>
        <v>0</v>
      </c>
      <c r="AD310" s="33">
        <v>21</v>
      </c>
      <c r="AE310" s="33">
        <f>G310*0</f>
        <v>0</v>
      </c>
      <c r="AF310" s="33">
        <f>G310*(1-0)</f>
        <v>0</v>
      </c>
      <c r="AM310" s="33">
        <f>F310*AE310</f>
        <v>0</v>
      </c>
      <c r="AN310" s="33">
        <f>F310*AF310</f>
        <v>0</v>
      </c>
      <c r="AO310" s="34" t="s">
        <v>844</v>
      </c>
      <c r="AP310" s="34" t="s">
        <v>865</v>
      </c>
      <c r="AQ310" s="26" t="s">
        <v>866</v>
      </c>
    </row>
    <row r="311" spans="1:37" ht="12.75">
      <c r="A311" s="3"/>
      <c r="B311" s="11" t="s">
        <v>200</v>
      </c>
      <c r="C311" s="11" t="s">
        <v>97</v>
      </c>
      <c r="D311" s="79" t="s">
        <v>698</v>
      </c>
      <c r="E311" s="80"/>
      <c r="F311" s="80"/>
      <c r="G311" s="80"/>
      <c r="H311" s="35">
        <f>SUM(H312:H316)</f>
        <v>0</v>
      </c>
      <c r="I311" s="35">
        <f>SUM(I312:I316)</f>
        <v>0</v>
      </c>
      <c r="J311" s="35">
        <f>H311+I311</f>
        <v>0</v>
      </c>
      <c r="K311" s="26"/>
      <c r="L311" s="35">
        <f>SUM(L312:L316)</f>
        <v>11.189639999999999</v>
      </c>
      <c r="M311" s="26"/>
      <c r="P311" s="35">
        <f>IF(Q311="PR",J311,SUM(O312:O316))</f>
        <v>0</v>
      </c>
      <c r="Q311" s="26" t="s">
        <v>808</v>
      </c>
      <c r="R311" s="35">
        <f>IF(Q311="HS",H311,0)</f>
        <v>0</v>
      </c>
      <c r="S311" s="35">
        <f>IF(Q311="HS",I311-P311,0)</f>
        <v>0</v>
      </c>
      <c r="T311" s="35">
        <f>IF(Q311="PS",H311,0)</f>
        <v>0</v>
      </c>
      <c r="U311" s="35">
        <f>IF(Q311="PS",I311-P311,0)</f>
        <v>0</v>
      </c>
      <c r="V311" s="35">
        <f>IF(Q311="MP",H311,0)</f>
        <v>0</v>
      </c>
      <c r="W311" s="35">
        <f>IF(Q311="MP",I311-P311,0)</f>
        <v>0</v>
      </c>
      <c r="X311" s="35">
        <f>IF(Q311="OM",H311,0)</f>
        <v>0</v>
      </c>
      <c r="Y311" s="26" t="s">
        <v>200</v>
      </c>
      <c r="AI311" s="35">
        <f>SUM(Z312:Z316)</f>
        <v>0</v>
      </c>
      <c r="AJ311" s="35">
        <f>SUM(AA312:AA316)</f>
        <v>0</v>
      </c>
      <c r="AK311" s="35">
        <f>SUM(AB312:AB316)</f>
        <v>0</v>
      </c>
    </row>
    <row r="312" spans="1:43" ht="12.75">
      <c r="A312" s="4" t="s">
        <v>149</v>
      </c>
      <c r="B312" s="4" t="s">
        <v>200</v>
      </c>
      <c r="C312" s="4" t="s">
        <v>348</v>
      </c>
      <c r="D312" s="4" t="s">
        <v>699</v>
      </c>
      <c r="E312" s="4" t="s">
        <v>777</v>
      </c>
      <c r="F312" s="17">
        <v>35</v>
      </c>
      <c r="G312" s="17"/>
      <c r="H312" s="17">
        <f>F312*AE312</f>
        <v>0</v>
      </c>
      <c r="I312" s="17">
        <f>J312-H312</f>
        <v>0</v>
      </c>
      <c r="J312" s="17">
        <f>F312*G312</f>
        <v>0</v>
      </c>
      <c r="K312" s="17">
        <v>0</v>
      </c>
      <c r="L312" s="17">
        <f>F312*K312</f>
        <v>0</v>
      </c>
      <c r="M312" s="29" t="s">
        <v>804</v>
      </c>
      <c r="N312" s="29" t="s">
        <v>7</v>
      </c>
      <c r="O312" s="17">
        <f>IF(N312="5",I312,0)</f>
        <v>0</v>
      </c>
      <c r="Z312" s="17">
        <f>IF(AD312=0,J312,0)</f>
        <v>0</v>
      </c>
      <c r="AA312" s="17">
        <f>IF(AD312=15,J312,0)</f>
        <v>0</v>
      </c>
      <c r="AB312" s="17">
        <f>IF(AD312=21,J312,0)</f>
        <v>0</v>
      </c>
      <c r="AD312" s="33">
        <v>21</v>
      </c>
      <c r="AE312" s="33">
        <f>G312*0.672150943396226</f>
        <v>0</v>
      </c>
      <c r="AF312" s="33">
        <f>G312*(1-0.672150943396226)</f>
        <v>0</v>
      </c>
      <c r="AM312" s="33">
        <f>F312*AE312</f>
        <v>0</v>
      </c>
      <c r="AN312" s="33">
        <f>F312*AF312</f>
        <v>0</v>
      </c>
      <c r="AO312" s="34" t="s">
        <v>845</v>
      </c>
      <c r="AP312" s="34" t="s">
        <v>865</v>
      </c>
      <c r="AQ312" s="26" t="s">
        <v>866</v>
      </c>
    </row>
    <row r="313" spans="4:6" ht="12.75">
      <c r="D313" s="13" t="s">
        <v>700</v>
      </c>
      <c r="F313" s="18">
        <v>35</v>
      </c>
    </row>
    <row r="314" spans="1:43" ht="12.75">
      <c r="A314" s="4" t="s">
        <v>150</v>
      </c>
      <c r="B314" s="4" t="s">
        <v>200</v>
      </c>
      <c r="C314" s="4" t="s">
        <v>349</v>
      </c>
      <c r="D314" s="4" t="s">
        <v>701</v>
      </c>
      <c r="E314" s="4" t="s">
        <v>777</v>
      </c>
      <c r="F314" s="17">
        <v>84</v>
      </c>
      <c r="G314" s="17"/>
      <c r="H314" s="17">
        <f>F314*AE314</f>
        <v>0</v>
      </c>
      <c r="I314" s="17">
        <f>J314-H314</f>
        <v>0</v>
      </c>
      <c r="J314" s="17">
        <f>F314*G314</f>
        <v>0</v>
      </c>
      <c r="K314" s="17">
        <v>0.11221</v>
      </c>
      <c r="L314" s="17">
        <f>F314*K314</f>
        <v>9.42564</v>
      </c>
      <c r="M314" s="29" t="s">
        <v>804</v>
      </c>
      <c r="N314" s="29" t="s">
        <v>7</v>
      </c>
      <c r="O314" s="17">
        <f>IF(N314="5",I314,0)</f>
        <v>0</v>
      </c>
      <c r="Z314" s="17">
        <f>IF(AD314=0,J314,0)</f>
        <v>0</v>
      </c>
      <c r="AA314" s="17">
        <f>IF(AD314=15,J314,0)</f>
        <v>0</v>
      </c>
      <c r="AB314" s="17">
        <f>IF(AD314=21,J314,0)</f>
        <v>0</v>
      </c>
      <c r="AD314" s="33">
        <v>21</v>
      </c>
      <c r="AE314" s="33">
        <f>G314*0.670038314176245</f>
        <v>0</v>
      </c>
      <c r="AF314" s="33">
        <f>G314*(1-0.670038314176245)</f>
        <v>0</v>
      </c>
      <c r="AM314" s="33">
        <f>F314*AE314</f>
        <v>0</v>
      </c>
      <c r="AN314" s="33">
        <f>F314*AF314</f>
        <v>0</v>
      </c>
      <c r="AO314" s="34" t="s">
        <v>845</v>
      </c>
      <c r="AP314" s="34" t="s">
        <v>865</v>
      </c>
      <c r="AQ314" s="26" t="s">
        <v>866</v>
      </c>
    </row>
    <row r="315" spans="4:6" ht="12.75">
      <c r="D315" s="13" t="s">
        <v>702</v>
      </c>
      <c r="F315" s="18">
        <v>84</v>
      </c>
    </row>
    <row r="316" spans="1:43" ht="12.75">
      <c r="A316" s="5" t="s">
        <v>151</v>
      </c>
      <c r="B316" s="5" t="s">
        <v>200</v>
      </c>
      <c r="C316" s="5" t="s">
        <v>350</v>
      </c>
      <c r="D316" s="5" t="s">
        <v>703</v>
      </c>
      <c r="E316" s="5" t="s">
        <v>781</v>
      </c>
      <c r="F316" s="19">
        <v>84</v>
      </c>
      <c r="G316" s="19"/>
      <c r="H316" s="19">
        <f>F316*AE316</f>
        <v>0</v>
      </c>
      <c r="I316" s="19">
        <f>J316-H316</f>
        <v>0</v>
      </c>
      <c r="J316" s="19">
        <f>F316*G316</f>
        <v>0</v>
      </c>
      <c r="K316" s="19">
        <v>0.021</v>
      </c>
      <c r="L316" s="19">
        <f>F316*K316</f>
        <v>1.764</v>
      </c>
      <c r="M316" s="30" t="s">
        <v>804</v>
      </c>
      <c r="N316" s="30" t="s">
        <v>805</v>
      </c>
      <c r="O316" s="19">
        <f>IF(N316="5",I316,0)</f>
        <v>0</v>
      </c>
      <c r="Z316" s="19">
        <f>IF(AD316=0,J316,0)</f>
        <v>0</v>
      </c>
      <c r="AA316" s="19">
        <f>IF(AD316=15,J316,0)</f>
        <v>0</v>
      </c>
      <c r="AB316" s="19">
        <f>IF(AD316=21,J316,0)</f>
        <v>0</v>
      </c>
      <c r="AD316" s="33">
        <v>21</v>
      </c>
      <c r="AE316" s="33">
        <f>G316*1</f>
        <v>0</v>
      </c>
      <c r="AF316" s="33">
        <f>G316*(1-1)</f>
        <v>0</v>
      </c>
      <c r="AM316" s="33">
        <f>F316*AE316</f>
        <v>0</v>
      </c>
      <c r="AN316" s="33">
        <f>F316*AF316</f>
        <v>0</v>
      </c>
      <c r="AO316" s="34" t="s">
        <v>845</v>
      </c>
      <c r="AP316" s="34" t="s">
        <v>865</v>
      </c>
      <c r="AQ316" s="26" t="s">
        <v>866</v>
      </c>
    </row>
    <row r="317" spans="1:37" ht="12.75">
      <c r="A317" s="3"/>
      <c r="B317" s="11" t="s">
        <v>200</v>
      </c>
      <c r="C317" s="11" t="s">
        <v>99</v>
      </c>
      <c r="D317" s="79" t="s">
        <v>704</v>
      </c>
      <c r="E317" s="80"/>
      <c r="F317" s="80"/>
      <c r="G317" s="80"/>
      <c r="H317" s="35">
        <f>SUM(H318:H318)</f>
        <v>0</v>
      </c>
      <c r="I317" s="35">
        <f>SUM(I318:I318)</f>
        <v>0</v>
      </c>
      <c r="J317" s="35">
        <f>H317+I317</f>
        <v>0</v>
      </c>
      <c r="K317" s="26"/>
      <c r="L317" s="35">
        <f>SUM(L318:L318)</f>
        <v>0</v>
      </c>
      <c r="M317" s="26"/>
      <c r="P317" s="35">
        <f>IF(Q317="PR",J317,SUM(O318:O318))</f>
        <v>0</v>
      </c>
      <c r="Q317" s="26" t="s">
        <v>808</v>
      </c>
      <c r="R317" s="35">
        <f>IF(Q317="HS",H317,0)</f>
        <v>0</v>
      </c>
      <c r="S317" s="35">
        <f>IF(Q317="HS",I317-P317,0)</f>
        <v>0</v>
      </c>
      <c r="T317" s="35">
        <f>IF(Q317="PS",H317,0)</f>
        <v>0</v>
      </c>
      <c r="U317" s="35">
        <f>IF(Q317="PS",I317-P317,0)</f>
        <v>0</v>
      </c>
      <c r="V317" s="35">
        <f>IF(Q317="MP",H317,0)</f>
        <v>0</v>
      </c>
      <c r="W317" s="35">
        <f>IF(Q317="MP",I317-P317,0)</f>
        <v>0</v>
      </c>
      <c r="X317" s="35">
        <f>IF(Q317="OM",H317,0)</f>
        <v>0</v>
      </c>
      <c r="Y317" s="26" t="s">
        <v>200</v>
      </c>
      <c r="AI317" s="35">
        <f>SUM(Z318:Z318)</f>
        <v>0</v>
      </c>
      <c r="AJ317" s="35">
        <f>SUM(AA318:AA318)</f>
        <v>0</v>
      </c>
      <c r="AK317" s="35">
        <f>SUM(AB318:AB318)</f>
        <v>0</v>
      </c>
    </row>
    <row r="318" spans="1:43" ht="12.75">
      <c r="A318" s="4" t="s">
        <v>152</v>
      </c>
      <c r="B318" s="4" t="s">
        <v>200</v>
      </c>
      <c r="C318" s="4" t="s">
        <v>351</v>
      </c>
      <c r="D318" s="4" t="s">
        <v>705</v>
      </c>
      <c r="E318" s="4" t="s">
        <v>774</v>
      </c>
      <c r="F318" s="17">
        <v>6</v>
      </c>
      <c r="G318" s="17"/>
      <c r="H318" s="17">
        <f>F318*AE318</f>
        <v>0</v>
      </c>
      <c r="I318" s="17">
        <f>J318-H318</f>
        <v>0</v>
      </c>
      <c r="J318" s="17">
        <f>F318*G318</f>
        <v>0</v>
      </c>
      <c r="K318" s="17">
        <v>0</v>
      </c>
      <c r="L318" s="17">
        <f>F318*K318</f>
        <v>0</v>
      </c>
      <c r="M318" s="29" t="s">
        <v>804</v>
      </c>
      <c r="N318" s="29" t="s">
        <v>7</v>
      </c>
      <c r="O318" s="17">
        <f>IF(N318="5",I318,0)</f>
        <v>0</v>
      </c>
      <c r="Z318" s="17">
        <f>IF(AD318=0,J318,0)</f>
        <v>0</v>
      </c>
      <c r="AA318" s="17">
        <f>IF(AD318=15,J318,0)</f>
        <v>0</v>
      </c>
      <c r="AB318" s="17">
        <f>IF(AD318=21,J318,0)</f>
        <v>0</v>
      </c>
      <c r="AD318" s="33">
        <v>21</v>
      </c>
      <c r="AE318" s="33">
        <f>G318*0</f>
        <v>0</v>
      </c>
      <c r="AF318" s="33">
        <f>G318*(1-0)</f>
        <v>0</v>
      </c>
      <c r="AM318" s="33">
        <f>F318*AE318</f>
        <v>0</v>
      </c>
      <c r="AN318" s="33">
        <f>F318*AF318</f>
        <v>0</v>
      </c>
      <c r="AO318" s="34" t="s">
        <v>846</v>
      </c>
      <c r="AP318" s="34" t="s">
        <v>865</v>
      </c>
      <c r="AQ318" s="26" t="s">
        <v>866</v>
      </c>
    </row>
    <row r="319" spans="1:37" ht="12.75">
      <c r="A319" s="3"/>
      <c r="B319" s="11" t="s">
        <v>200</v>
      </c>
      <c r="C319" s="11" t="s">
        <v>102</v>
      </c>
      <c r="D319" s="79" t="s">
        <v>706</v>
      </c>
      <c r="E319" s="80"/>
      <c r="F319" s="80"/>
      <c r="G319" s="80"/>
      <c r="H319" s="35">
        <f>SUM(H320:H331)</f>
        <v>0</v>
      </c>
      <c r="I319" s="35">
        <f>SUM(I320:I331)</f>
        <v>0</v>
      </c>
      <c r="J319" s="35">
        <f>H319+I319</f>
        <v>0</v>
      </c>
      <c r="K319" s="26"/>
      <c r="L319" s="35">
        <f>SUM(L320:L331)</f>
        <v>22.208377499999997</v>
      </c>
      <c r="M319" s="26"/>
      <c r="P319" s="35">
        <f>IF(Q319="PR",J319,SUM(O320:O331))</f>
        <v>0</v>
      </c>
      <c r="Q319" s="26" t="s">
        <v>808</v>
      </c>
      <c r="R319" s="35">
        <f>IF(Q319="HS",H319,0)</f>
        <v>0</v>
      </c>
      <c r="S319" s="35">
        <f>IF(Q319="HS",I319-P319,0)</f>
        <v>0</v>
      </c>
      <c r="T319" s="35">
        <f>IF(Q319="PS",H319,0)</f>
        <v>0</v>
      </c>
      <c r="U319" s="35">
        <f>IF(Q319="PS",I319-P319,0)</f>
        <v>0</v>
      </c>
      <c r="V319" s="35">
        <f>IF(Q319="MP",H319,0)</f>
        <v>0</v>
      </c>
      <c r="W319" s="35">
        <f>IF(Q319="MP",I319-P319,0)</f>
        <v>0</v>
      </c>
      <c r="X319" s="35">
        <f>IF(Q319="OM",H319,0)</f>
        <v>0</v>
      </c>
      <c r="Y319" s="26" t="s">
        <v>200</v>
      </c>
      <c r="AI319" s="35">
        <f>SUM(Z320:Z331)</f>
        <v>0</v>
      </c>
      <c r="AJ319" s="35">
        <f>SUM(AA320:AA331)</f>
        <v>0</v>
      </c>
      <c r="AK319" s="35">
        <f>SUM(AB320:AB331)</f>
        <v>0</v>
      </c>
    </row>
    <row r="320" spans="1:43" ht="12.75">
      <c r="A320" s="4" t="s">
        <v>153</v>
      </c>
      <c r="B320" s="4" t="s">
        <v>200</v>
      </c>
      <c r="C320" s="4" t="s">
        <v>352</v>
      </c>
      <c r="D320" s="4" t="s">
        <v>707</v>
      </c>
      <c r="E320" s="4" t="s">
        <v>778</v>
      </c>
      <c r="F320" s="17">
        <v>0.3</v>
      </c>
      <c r="G320" s="17"/>
      <c r="H320" s="17">
        <f>F320*AE320</f>
        <v>0</v>
      </c>
      <c r="I320" s="17">
        <f>J320-H320</f>
        <v>0</v>
      </c>
      <c r="J320" s="17">
        <f>F320*G320</f>
        <v>0</v>
      </c>
      <c r="K320" s="17">
        <v>2.2</v>
      </c>
      <c r="L320" s="17">
        <f>F320*K320</f>
        <v>0.66</v>
      </c>
      <c r="M320" s="29" t="s">
        <v>804</v>
      </c>
      <c r="N320" s="29" t="s">
        <v>7</v>
      </c>
      <c r="O320" s="17">
        <f>IF(N320="5",I320,0)</f>
        <v>0</v>
      </c>
      <c r="Z320" s="17">
        <f>IF(AD320=0,J320,0)</f>
        <v>0</v>
      </c>
      <c r="AA320" s="17">
        <f>IF(AD320=15,J320,0)</f>
        <v>0</v>
      </c>
      <c r="AB320" s="17">
        <f>IF(AD320=21,J320,0)</f>
        <v>0</v>
      </c>
      <c r="AD320" s="33">
        <v>21</v>
      </c>
      <c r="AE320" s="33">
        <f>G320*0</f>
        <v>0</v>
      </c>
      <c r="AF320" s="33">
        <f>G320*(1-0)</f>
        <v>0</v>
      </c>
      <c r="AM320" s="33">
        <f>F320*AE320</f>
        <v>0</v>
      </c>
      <c r="AN320" s="33">
        <f>F320*AF320</f>
        <v>0</v>
      </c>
      <c r="AO320" s="34" t="s">
        <v>847</v>
      </c>
      <c r="AP320" s="34" t="s">
        <v>865</v>
      </c>
      <c r="AQ320" s="26" t="s">
        <v>866</v>
      </c>
    </row>
    <row r="321" spans="4:6" ht="12.75">
      <c r="D321" s="13" t="s">
        <v>708</v>
      </c>
      <c r="F321" s="18">
        <v>0.3</v>
      </c>
    </row>
    <row r="322" spans="1:43" ht="12.75">
      <c r="A322" s="4" t="s">
        <v>154</v>
      </c>
      <c r="B322" s="4" t="s">
        <v>200</v>
      </c>
      <c r="C322" s="4" t="s">
        <v>353</v>
      </c>
      <c r="D322" s="4" t="s">
        <v>709</v>
      </c>
      <c r="E322" s="4" t="s">
        <v>778</v>
      </c>
      <c r="F322" s="17">
        <v>6.75</v>
      </c>
      <c r="G322" s="17"/>
      <c r="H322" s="17">
        <f>F322*AE322</f>
        <v>0</v>
      </c>
      <c r="I322" s="17">
        <f>J322-H322</f>
        <v>0</v>
      </c>
      <c r="J322" s="17">
        <f>F322*G322</f>
        <v>0</v>
      </c>
      <c r="K322" s="17">
        <v>2.44933</v>
      </c>
      <c r="L322" s="17">
        <f>F322*K322</f>
        <v>16.532977499999998</v>
      </c>
      <c r="M322" s="29" t="s">
        <v>804</v>
      </c>
      <c r="N322" s="29" t="s">
        <v>7</v>
      </c>
      <c r="O322" s="17">
        <f>IF(N322="5",I322,0)</f>
        <v>0</v>
      </c>
      <c r="Z322" s="17">
        <f>IF(AD322=0,J322,0)</f>
        <v>0</v>
      </c>
      <c r="AA322" s="17">
        <f>IF(AD322=15,J322,0)</f>
        <v>0</v>
      </c>
      <c r="AB322" s="17">
        <f>IF(AD322=21,J322,0)</f>
        <v>0</v>
      </c>
      <c r="AD322" s="33">
        <v>21</v>
      </c>
      <c r="AE322" s="33">
        <f>G322*0.0501851381597208</f>
        <v>0</v>
      </c>
      <c r="AF322" s="33">
        <f>G322*(1-0.0501851381597208)</f>
        <v>0</v>
      </c>
      <c r="AM322" s="33">
        <f>F322*AE322</f>
        <v>0</v>
      </c>
      <c r="AN322" s="33">
        <f>F322*AF322</f>
        <v>0</v>
      </c>
      <c r="AO322" s="34" t="s">
        <v>847</v>
      </c>
      <c r="AP322" s="34" t="s">
        <v>865</v>
      </c>
      <c r="AQ322" s="26" t="s">
        <v>866</v>
      </c>
    </row>
    <row r="323" spans="4:6" ht="12.75">
      <c r="D323" s="13" t="s">
        <v>710</v>
      </c>
      <c r="F323" s="18">
        <v>0</v>
      </c>
    </row>
    <row r="324" spans="4:6" ht="12.75">
      <c r="D324" s="13" t="s">
        <v>711</v>
      </c>
      <c r="F324" s="18">
        <v>5.25</v>
      </c>
    </row>
    <row r="325" spans="4:6" ht="12.75">
      <c r="D325" s="13" t="s">
        <v>712</v>
      </c>
      <c r="F325" s="18">
        <v>1.5</v>
      </c>
    </row>
    <row r="326" spans="1:43" ht="12.75">
      <c r="A326" s="4" t="s">
        <v>155</v>
      </c>
      <c r="B326" s="4" t="s">
        <v>200</v>
      </c>
      <c r="C326" s="4" t="s">
        <v>354</v>
      </c>
      <c r="D326" s="4" t="s">
        <v>713</v>
      </c>
      <c r="E326" s="4" t="s">
        <v>777</v>
      </c>
      <c r="F326" s="17">
        <v>20</v>
      </c>
      <c r="G326" s="17"/>
      <c r="H326" s="17">
        <f aca="true" t="shared" si="44" ref="H326:H331">F326*AE326</f>
        <v>0</v>
      </c>
      <c r="I326" s="17">
        <f aca="true" t="shared" si="45" ref="I326:I331">J326-H326</f>
        <v>0</v>
      </c>
      <c r="J326" s="17">
        <f aca="true" t="shared" si="46" ref="J326:J331">F326*G326</f>
        <v>0</v>
      </c>
      <c r="K326" s="17">
        <v>0.06359</v>
      </c>
      <c r="L326" s="17">
        <f aca="true" t="shared" si="47" ref="L326:L331">F326*K326</f>
        <v>1.2717999999999998</v>
      </c>
      <c r="M326" s="29" t="s">
        <v>804</v>
      </c>
      <c r="N326" s="29" t="s">
        <v>7</v>
      </c>
      <c r="O326" s="17">
        <f aca="true" t="shared" si="48" ref="O326:O331">IF(N326="5",I326,0)</f>
        <v>0</v>
      </c>
      <c r="Z326" s="17">
        <f aca="true" t="shared" si="49" ref="Z326:Z331">IF(AD326=0,J326,0)</f>
        <v>0</v>
      </c>
      <c r="AA326" s="17">
        <f aca="true" t="shared" si="50" ref="AA326:AA331">IF(AD326=15,J326,0)</f>
        <v>0</v>
      </c>
      <c r="AB326" s="17">
        <f aca="true" t="shared" si="51" ref="AB326:AB331">IF(AD326=21,J326,0)</f>
        <v>0</v>
      </c>
      <c r="AD326" s="33">
        <v>21</v>
      </c>
      <c r="AE326" s="33">
        <f>G326*0.103576474087293</f>
        <v>0</v>
      </c>
      <c r="AF326" s="33">
        <f>G326*(1-0.103576474087293)</f>
        <v>0</v>
      </c>
      <c r="AM326" s="33">
        <f aca="true" t="shared" si="52" ref="AM326:AM331">F326*AE326</f>
        <v>0</v>
      </c>
      <c r="AN326" s="33">
        <f aca="true" t="shared" si="53" ref="AN326:AN331">F326*AF326</f>
        <v>0</v>
      </c>
      <c r="AO326" s="34" t="s">
        <v>847</v>
      </c>
      <c r="AP326" s="34" t="s">
        <v>865</v>
      </c>
      <c r="AQ326" s="26" t="s">
        <v>866</v>
      </c>
    </row>
    <row r="327" spans="1:43" ht="12.75">
      <c r="A327" s="4" t="s">
        <v>156</v>
      </c>
      <c r="B327" s="4" t="s">
        <v>200</v>
      </c>
      <c r="C327" s="4" t="s">
        <v>355</v>
      </c>
      <c r="D327" s="4" t="s">
        <v>714</v>
      </c>
      <c r="E327" s="4" t="s">
        <v>777</v>
      </c>
      <c r="F327" s="17">
        <v>40</v>
      </c>
      <c r="G327" s="17"/>
      <c r="H327" s="17">
        <f t="shared" si="44"/>
        <v>0</v>
      </c>
      <c r="I327" s="17">
        <f t="shared" si="45"/>
        <v>0</v>
      </c>
      <c r="J327" s="17">
        <f t="shared" si="46"/>
        <v>0</v>
      </c>
      <c r="K327" s="17">
        <v>0.09359</v>
      </c>
      <c r="L327" s="17">
        <f t="shared" si="47"/>
        <v>3.7436000000000003</v>
      </c>
      <c r="M327" s="29" t="s">
        <v>804</v>
      </c>
      <c r="N327" s="29" t="s">
        <v>7</v>
      </c>
      <c r="O327" s="17">
        <f t="shared" si="48"/>
        <v>0</v>
      </c>
      <c r="Z327" s="17">
        <f t="shared" si="49"/>
        <v>0</v>
      </c>
      <c r="AA327" s="17">
        <f t="shared" si="50"/>
        <v>0</v>
      </c>
      <c r="AB327" s="17">
        <f t="shared" si="51"/>
        <v>0</v>
      </c>
      <c r="AD327" s="33">
        <v>21</v>
      </c>
      <c r="AE327" s="33">
        <f>G327*0.0816960882059703</f>
        <v>0</v>
      </c>
      <c r="AF327" s="33">
        <f>G327*(1-0.0816960882059703)</f>
        <v>0</v>
      </c>
      <c r="AM327" s="33">
        <f t="shared" si="52"/>
        <v>0</v>
      </c>
      <c r="AN327" s="33">
        <f t="shared" si="53"/>
        <v>0</v>
      </c>
      <c r="AO327" s="34" t="s">
        <v>847</v>
      </c>
      <c r="AP327" s="34" t="s">
        <v>865</v>
      </c>
      <c r="AQ327" s="26" t="s">
        <v>866</v>
      </c>
    </row>
    <row r="328" spans="1:43" ht="12.75">
      <c r="A328" s="4" t="s">
        <v>157</v>
      </c>
      <c r="B328" s="4" t="s">
        <v>200</v>
      </c>
      <c r="C328" s="4" t="s">
        <v>356</v>
      </c>
      <c r="D328" s="4" t="s">
        <v>715</v>
      </c>
      <c r="E328" s="4" t="s">
        <v>779</v>
      </c>
      <c r="F328" s="17">
        <v>22.2</v>
      </c>
      <c r="G328" s="17"/>
      <c r="H328" s="17">
        <f t="shared" si="44"/>
        <v>0</v>
      </c>
      <c r="I328" s="17">
        <f t="shared" si="45"/>
        <v>0</v>
      </c>
      <c r="J328" s="17">
        <f t="shared" si="46"/>
        <v>0</v>
      </c>
      <c r="K328" s="17">
        <v>0</v>
      </c>
      <c r="L328" s="17">
        <f t="shared" si="47"/>
        <v>0</v>
      </c>
      <c r="M328" s="29" t="s">
        <v>804</v>
      </c>
      <c r="N328" s="29" t="s">
        <v>11</v>
      </c>
      <c r="O328" s="17">
        <f t="shared" si="48"/>
        <v>0</v>
      </c>
      <c r="Z328" s="17">
        <f t="shared" si="49"/>
        <v>0</v>
      </c>
      <c r="AA328" s="17">
        <f t="shared" si="50"/>
        <v>0</v>
      </c>
      <c r="AB328" s="17">
        <f t="shared" si="51"/>
        <v>0</v>
      </c>
      <c r="AD328" s="33">
        <v>21</v>
      </c>
      <c r="AE328" s="33">
        <f>G328*0</f>
        <v>0</v>
      </c>
      <c r="AF328" s="33">
        <f>G328*(1-0)</f>
        <v>0</v>
      </c>
      <c r="AM328" s="33">
        <f t="shared" si="52"/>
        <v>0</v>
      </c>
      <c r="AN328" s="33">
        <f t="shared" si="53"/>
        <v>0</v>
      </c>
      <c r="AO328" s="34" t="s">
        <v>847</v>
      </c>
      <c r="AP328" s="34" t="s">
        <v>865</v>
      </c>
      <c r="AQ328" s="26" t="s">
        <v>866</v>
      </c>
    </row>
    <row r="329" spans="1:43" ht="12.75">
      <c r="A329" s="4" t="s">
        <v>158</v>
      </c>
      <c r="B329" s="4" t="s">
        <v>200</v>
      </c>
      <c r="C329" s="4" t="s">
        <v>357</v>
      </c>
      <c r="D329" s="4" t="s">
        <v>716</v>
      </c>
      <c r="E329" s="4" t="s">
        <v>779</v>
      </c>
      <c r="F329" s="17">
        <v>22.2</v>
      </c>
      <c r="G329" s="17"/>
      <c r="H329" s="17">
        <f t="shared" si="44"/>
        <v>0</v>
      </c>
      <c r="I329" s="17">
        <f t="shared" si="45"/>
        <v>0</v>
      </c>
      <c r="J329" s="17">
        <f t="shared" si="46"/>
        <v>0</v>
      </c>
      <c r="K329" s="17">
        <v>0</v>
      </c>
      <c r="L329" s="17">
        <f t="shared" si="47"/>
        <v>0</v>
      </c>
      <c r="M329" s="29" t="s">
        <v>804</v>
      </c>
      <c r="N329" s="29" t="s">
        <v>11</v>
      </c>
      <c r="O329" s="17">
        <f t="shared" si="48"/>
        <v>0</v>
      </c>
      <c r="Z329" s="17">
        <f t="shared" si="49"/>
        <v>0</v>
      </c>
      <c r="AA329" s="17">
        <f t="shared" si="50"/>
        <v>0</v>
      </c>
      <c r="AB329" s="17">
        <f t="shared" si="51"/>
        <v>0</v>
      </c>
      <c r="AD329" s="33">
        <v>21</v>
      </c>
      <c r="AE329" s="33">
        <f>G329*0</f>
        <v>0</v>
      </c>
      <c r="AF329" s="33">
        <f>G329*(1-0)</f>
        <v>0</v>
      </c>
      <c r="AM329" s="33">
        <f t="shared" si="52"/>
        <v>0</v>
      </c>
      <c r="AN329" s="33">
        <f t="shared" si="53"/>
        <v>0</v>
      </c>
      <c r="AO329" s="34" t="s">
        <v>847</v>
      </c>
      <c r="AP329" s="34" t="s">
        <v>865</v>
      </c>
      <c r="AQ329" s="26" t="s">
        <v>866</v>
      </c>
    </row>
    <row r="330" spans="1:43" ht="12.75">
      <c r="A330" s="4" t="s">
        <v>159</v>
      </c>
      <c r="B330" s="4" t="s">
        <v>200</v>
      </c>
      <c r="C330" s="4" t="s">
        <v>358</v>
      </c>
      <c r="D330" s="4" t="s">
        <v>717</v>
      </c>
      <c r="E330" s="4" t="s">
        <v>779</v>
      </c>
      <c r="F330" s="17">
        <v>22.2</v>
      </c>
      <c r="G330" s="17"/>
      <c r="H330" s="17">
        <f t="shared" si="44"/>
        <v>0</v>
      </c>
      <c r="I330" s="17">
        <f t="shared" si="45"/>
        <v>0</v>
      </c>
      <c r="J330" s="17">
        <f t="shared" si="46"/>
        <v>0</v>
      </c>
      <c r="K330" s="17">
        <v>0</v>
      </c>
      <c r="L330" s="17">
        <f t="shared" si="47"/>
        <v>0</v>
      </c>
      <c r="M330" s="29" t="s">
        <v>804</v>
      </c>
      <c r="N330" s="29" t="s">
        <v>11</v>
      </c>
      <c r="O330" s="17">
        <f t="shared" si="48"/>
        <v>0</v>
      </c>
      <c r="Z330" s="17">
        <f t="shared" si="49"/>
        <v>0</v>
      </c>
      <c r="AA330" s="17">
        <f t="shared" si="50"/>
        <v>0</v>
      </c>
      <c r="AB330" s="17">
        <f t="shared" si="51"/>
        <v>0</v>
      </c>
      <c r="AD330" s="33">
        <v>21</v>
      </c>
      <c r="AE330" s="33">
        <f>G330*0</f>
        <v>0</v>
      </c>
      <c r="AF330" s="33">
        <f>G330*(1-0)</f>
        <v>0</v>
      </c>
      <c r="AM330" s="33">
        <f t="shared" si="52"/>
        <v>0</v>
      </c>
      <c r="AN330" s="33">
        <f t="shared" si="53"/>
        <v>0</v>
      </c>
      <c r="AO330" s="34" t="s">
        <v>847</v>
      </c>
      <c r="AP330" s="34" t="s">
        <v>865</v>
      </c>
      <c r="AQ330" s="26" t="s">
        <v>866</v>
      </c>
    </row>
    <row r="331" spans="1:43" ht="12.75">
      <c r="A331" s="4" t="s">
        <v>160</v>
      </c>
      <c r="B331" s="4" t="s">
        <v>200</v>
      </c>
      <c r="C331" s="4" t="s">
        <v>359</v>
      </c>
      <c r="D331" s="4" t="s">
        <v>718</v>
      </c>
      <c r="E331" s="4" t="s">
        <v>779</v>
      </c>
      <c r="F331" s="17">
        <v>199.8</v>
      </c>
      <c r="G331" s="17"/>
      <c r="H331" s="17">
        <f t="shared" si="44"/>
        <v>0</v>
      </c>
      <c r="I331" s="17">
        <f t="shared" si="45"/>
        <v>0</v>
      </c>
      <c r="J331" s="17">
        <f t="shared" si="46"/>
        <v>0</v>
      </c>
      <c r="K331" s="17">
        <v>0</v>
      </c>
      <c r="L331" s="17">
        <f t="shared" si="47"/>
        <v>0</v>
      </c>
      <c r="M331" s="29" t="s">
        <v>804</v>
      </c>
      <c r="N331" s="29" t="s">
        <v>11</v>
      </c>
      <c r="O331" s="17">
        <f t="shared" si="48"/>
        <v>0</v>
      </c>
      <c r="Z331" s="17">
        <f t="shared" si="49"/>
        <v>0</v>
      </c>
      <c r="AA331" s="17">
        <f t="shared" si="50"/>
        <v>0</v>
      </c>
      <c r="AB331" s="17">
        <f t="shared" si="51"/>
        <v>0</v>
      </c>
      <c r="AD331" s="33">
        <v>21</v>
      </c>
      <c r="AE331" s="33">
        <f>G331*0</f>
        <v>0</v>
      </c>
      <c r="AF331" s="33">
        <f>G331*(1-0)</f>
        <v>0</v>
      </c>
      <c r="AM331" s="33">
        <f t="shared" si="52"/>
        <v>0</v>
      </c>
      <c r="AN331" s="33">
        <f t="shared" si="53"/>
        <v>0</v>
      </c>
      <c r="AO331" s="34" t="s">
        <v>847</v>
      </c>
      <c r="AP331" s="34" t="s">
        <v>865</v>
      </c>
      <c r="AQ331" s="26" t="s">
        <v>866</v>
      </c>
    </row>
    <row r="332" spans="4:6" ht="12.75">
      <c r="D332" s="13" t="s">
        <v>719</v>
      </c>
      <c r="F332" s="18">
        <v>199.8</v>
      </c>
    </row>
    <row r="333" spans="1:37" ht="12.75">
      <c r="A333" s="3"/>
      <c r="B333" s="11" t="s">
        <v>200</v>
      </c>
      <c r="C333" s="11" t="s">
        <v>103</v>
      </c>
      <c r="D333" s="79" t="s">
        <v>720</v>
      </c>
      <c r="E333" s="80"/>
      <c r="F333" s="80"/>
      <c r="G333" s="80"/>
      <c r="H333" s="35">
        <f>SUM(H334:H346)</f>
        <v>0</v>
      </c>
      <c r="I333" s="35">
        <f>SUM(I334:I346)</f>
        <v>0</v>
      </c>
      <c r="J333" s="35">
        <f>H333+I333</f>
        <v>0</v>
      </c>
      <c r="K333" s="26"/>
      <c r="L333" s="35">
        <f>SUM(L334:L346)</f>
        <v>1.4896034</v>
      </c>
      <c r="M333" s="26"/>
      <c r="P333" s="35">
        <f>IF(Q333="PR",J333,SUM(O334:O346))</f>
        <v>0</v>
      </c>
      <c r="Q333" s="26" t="s">
        <v>808</v>
      </c>
      <c r="R333" s="35">
        <f>IF(Q333="HS",H333,0)</f>
        <v>0</v>
      </c>
      <c r="S333" s="35">
        <f>IF(Q333="HS",I333-P333,0)</f>
        <v>0</v>
      </c>
      <c r="T333" s="35">
        <f>IF(Q333="PS",H333,0)</f>
        <v>0</v>
      </c>
      <c r="U333" s="35">
        <f>IF(Q333="PS",I333-P333,0)</f>
        <v>0</v>
      </c>
      <c r="V333" s="35">
        <f>IF(Q333="MP",H333,0)</f>
        <v>0</v>
      </c>
      <c r="W333" s="35">
        <f>IF(Q333="MP",I333-P333,0)</f>
        <v>0</v>
      </c>
      <c r="X333" s="35">
        <f>IF(Q333="OM",H333,0)</f>
        <v>0</v>
      </c>
      <c r="Y333" s="26" t="s">
        <v>200</v>
      </c>
      <c r="AI333" s="35">
        <f>SUM(Z334:Z346)</f>
        <v>0</v>
      </c>
      <c r="AJ333" s="35">
        <f>SUM(AA334:AA346)</f>
        <v>0</v>
      </c>
      <c r="AK333" s="35">
        <f>SUM(AB334:AB346)</f>
        <v>0</v>
      </c>
    </row>
    <row r="334" spans="1:43" ht="12.75">
      <c r="A334" s="4" t="s">
        <v>161</v>
      </c>
      <c r="B334" s="4" t="s">
        <v>200</v>
      </c>
      <c r="C334" s="4" t="s">
        <v>360</v>
      </c>
      <c r="D334" s="4" t="s">
        <v>721</v>
      </c>
      <c r="E334" s="4" t="s">
        <v>776</v>
      </c>
      <c r="F334" s="17">
        <v>0.27</v>
      </c>
      <c r="G334" s="17"/>
      <c r="H334" s="17">
        <f>F334*AE334</f>
        <v>0</v>
      </c>
      <c r="I334" s="17">
        <f>J334-H334</f>
        <v>0</v>
      </c>
      <c r="J334" s="17">
        <f>F334*G334</f>
        <v>0</v>
      </c>
      <c r="K334" s="17">
        <v>0.81082</v>
      </c>
      <c r="L334" s="17">
        <f>F334*K334</f>
        <v>0.21892140000000002</v>
      </c>
      <c r="M334" s="29" t="s">
        <v>804</v>
      </c>
      <c r="N334" s="29" t="s">
        <v>9</v>
      </c>
      <c r="O334" s="17">
        <f>IF(N334="5",I334,0)</f>
        <v>0</v>
      </c>
      <c r="Z334" s="17">
        <f>IF(AD334=0,J334,0)</f>
        <v>0</v>
      </c>
      <c r="AA334" s="17">
        <f>IF(AD334=15,J334,0)</f>
        <v>0</v>
      </c>
      <c r="AB334" s="17">
        <f>IF(AD334=21,J334,0)</f>
        <v>0</v>
      </c>
      <c r="AD334" s="33">
        <v>21</v>
      </c>
      <c r="AE334" s="33">
        <f>G334*0.0145133348699227</f>
        <v>0</v>
      </c>
      <c r="AF334" s="33">
        <f>G334*(1-0.0145133348699227)</f>
        <v>0</v>
      </c>
      <c r="AM334" s="33">
        <f>F334*AE334</f>
        <v>0</v>
      </c>
      <c r="AN334" s="33">
        <f>F334*AF334</f>
        <v>0</v>
      </c>
      <c r="AO334" s="34" t="s">
        <v>848</v>
      </c>
      <c r="AP334" s="34" t="s">
        <v>865</v>
      </c>
      <c r="AQ334" s="26" t="s">
        <v>866</v>
      </c>
    </row>
    <row r="335" spans="4:6" ht="12.75">
      <c r="D335" s="13" t="s">
        <v>722</v>
      </c>
      <c r="F335" s="18">
        <v>0.27</v>
      </c>
    </row>
    <row r="336" spans="1:43" ht="12.75">
      <c r="A336" s="4" t="s">
        <v>162</v>
      </c>
      <c r="B336" s="4" t="s">
        <v>200</v>
      </c>
      <c r="C336" s="4" t="s">
        <v>361</v>
      </c>
      <c r="D336" s="4" t="s">
        <v>723</v>
      </c>
      <c r="E336" s="4" t="s">
        <v>777</v>
      </c>
      <c r="F336" s="17">
        <v>0.6</v>
      </c>
      <c r="G336" s="17"/>
      <c r="H336" s="17">
        <f>F336*AE336</f>
        <v>0</v>
      </c>
      <c r="I336" s="17">
        <f>J336-H336</f>
        <v>0</v>
      </c>
      <c r="J336" s="17">
        <f>F336*G336</f>
        <v>0</v>
      </c>
      <c r="K336" s="17">
        <v>0.00263</v>
      </c>
      <c r="L336" s="17">
        <f>F336*K336</f>
        <v>0.001578</v>
      </c>
      <c r="M336" s="29" t="s">
        <v>804</v>
      </c>
      <c r="N336" s="29" t="s">
        <v>7</v>
      </c>
      <c r="O336" s="17">
        <f>IF(N336="5",I336,0)</f>
        <v>0</v>
      </c>
      <c r="Z336" s="17">
        <f>IF(AD336=0,J336,0)</f>
        <v>0</v>
      </c>
      <c r="AA336" s="17">
        <f>IF(AD336=15,J336,0)</f>
        <v>0</v>
      </c>
      <c r="AB336" s="17">
        <f>IF(AD336=21,J336,0)</f>
        <v>0</v>
      </c>
      <c r="AD336" s="33">
        <v>21</v>
      </c>
      <c r="AE336" s="33">
        <f>G336*0.388907725321888</f>
        <v>0</v>
      </c>
      <c r="AF336" s="33">
        <f>G336*(1-0.388907725321888)</f>
        <v>0</v>
      </c>
      <c r="AM336" s="33">
        <f>F336*AE336</f>
        <v>0</v>
      </c>
      <c r="AN336" s="33">
        <f>F336*AF336</f>
        <v>0</v>
      </c>
      <c r="AO336" s="34" t="s">
        <v>848</v>
      </c>
      <c r="AP336" s="34" t="s">
        <v>865</v>
      </c>
      <c r="AQ336" s="26" t="s">
        <v>866</v>
      </c>
    </row>
    <row r="337" spans="4:6" ht="12.75">
      <c r="D337" s="13" t="s">
        <v>724</v>
      </c>
      <c r="F337" s="18">
        <v>0.6</v>
      </c>
    </row>
    <row r="338" spans="1:43" ht="12.75">
      <c r="A338" s="4" t="s">
        <v>163</v>
      </c>
      <c r="B338" s="4" t="s">
        <v>200</v>
      </c>
      <c r="C338" s="4" t="s">
        <v>362</v>
      </c>
      <c r="D338" s="4" t="s">
        <v>725</v>
      </c>
      <c r="E338" s="4" t="s">
        <v>777</v>
      </c>
      <c r="F338" s="17">
        <v>0.6</v>
      </c>
      <c r="G338" s="17"/>
      <c r="H338" s="17">
        <f>F338*AE338</f>
        <v>0</v>
      </c>
      <c r="I338" s="17">
        <f>J338-H338</f>
        <v>0</v>
      </c>
      <c r="J338" s="17">
        <f>F338*G338</f>
        <v>0</v>
      </c>
      <c r="K338" s="17">
        <v>0.00263</v>
      </c>
      <c r="L338" s="17">
        <f>F338*K338</f>
        <v>0.001578</v>
      </c>
      <c r="M338" s="29" t="s">
        <v>804</v>
      </c>
      <c r="N338" s="29" t="s">
        <v>7</v>
      </c>
      <c r="O338" s="17">
        <f>IF(N338="5",I338,0)</f>
        <v>0</v>
      </c>
      <c r="Z338" s="17">
        <f>IF(AD338=0,J338,0)</f>
        <v>0</v>
      </c>
      <c r="AA338" s="17">
        <f>IF(AD338=15,J338,0)</f>
        <v>0</v>
      </c>
      <c r="AB338" s="17">
        <f>IF(AD338=21,J338,0)</f>
        <v>0</v>
      </c>
      <c r="AD338" s="33">
        <v>21</v>
      </c>
      <c r="AE338" s="33">
        <f>G338*0.416658476658477</f>
        <v>0</v>
      </c>
      <c r="AF338" s="33">
        <f>G338*(1-0.416658476658477)</f>
        <v>0</v>
      </c>
      <c r="AM338" s="33">
        <f>F338*AE338</f>
        <v>0</v>
      </c>
      <c r="AN338" s="33">
        <f>F338*AF338</f>
        <v>0</v>
      </c>
      <c r="AO338" s="34" t="s">
        <v>848</v>
      </c>
      <c r="AP338" s="34" t="s">
        <v>865</v>
      </c>
      <c r="AQ338" s="26" t="s">
        <v>866</v>
      </c>
    </row>
    <row r="339" spans="4:6" ht="12.75">
      <c r="D339" s="13" t="s">
        <v>724</v>
      </c>
      <c r="F339" s="18">
        <v>0.6</v>
      </c>
    </row>
    <row r="340" spans="1:43" ht="12.75">
      <c r="A340" s="4" t="s">
        <v>164</v>
      </c>
      <c r="B340" s="4" t="s">
        <v>200</v>
      </c>
      <c r="C340" s="4" t="s">
        <v>363</v>
      </c>
      <c r="D340" s="4" t="s">
        <v>726</v>
      </c>
      <c r="E340" s="4" t="s">
        <v>777</v>
      </c>
      <c r="F340" s="17">
        <v>0.6</v>
      </c>
      <c r="G340" s="17"/>
      <c r="H340" s="17">
        <f aca="true" t="shared" si="54" ref="H340:H346">F340*AE340</f>
        <v>0</v>
      </c>
      <c r="I340" s="17">
        <f aca="true" t="shared" si="55" ref="I340:I346">J340-H340</f>
        <v>0</v>
      </c>
      <c r="J340" s="17">
        <f aca="true" t="shared" si="56" ref="J340:J346">F340*G340</f>
        <v>0</v>
      </c>
      <c r="K340" s="17">
        <v>0.00134</v>
      </c>
      <c r="L340" s="17">
        <f aca="true" t="shared" si="57" ref="L340:L346">F340*K340</f>
        <v>0.000804</v>
      </c>
      <c r="M340" s="29" t="s">
        <v>804</v>
      </c>
      <c r="N340" s="29" t="s">
        <v>7</v>
      </c>
      <c r="O340" s="17">
        <f aca="true" t="shared" si="58" ref="O340:O346">IF(N340="5",I340,0)</f>
        <v>0</v>
      </c>
      <c r="Z340" s="17">
        <f aca="true" t="shared" si="59" ref="Z340:Z346">IF(AD340=0,J340,0)</f>
        <v>0</v>
      </c>
      <c r="AA340" s="17">
        <f aca="true" t="shared" si="60" ref="AA340:AA346">IF(AD340=15,J340,0)</f>
        <v>0</v>
      </c>
      <c r="AB340" s="17">
        <f aca="true" t="shared" si="61" ref="AB340:AB346">IF(AD340=21,J340,0)</f>
        <v>0</v>
      </c>
      <c r="AD340" s="33">
        <v>21</v>
      </c>
      <c r="AE340" s="33">
        <f>G340*0.0606463878326996</f>
        <v>0</v>
      </c>
      <c r="AF340" s="33">
        <f>G340*(1-0.0606463878326996)</f>
        <v>0</v>
      </c>
      <c r="AM340" s="33">
        <f aca="true" t="shared" si="62" ref="AM340:AM346">F340*AE340</f>
        <v>0</v>
      </c>
      <c r="AN340" s="33">
        <f aca="true" t="shared" si="63" ref="AN340:AN346">F340*AF340</f>
        <v>0</v>
      </c>
      <c r="AO340" s="34" t="s">
        <v>848</v>
      </c>
      <c r="AP340" s="34" t="s">
        <v>865</v>
      </c>
      <c r="AQ340" s="26" t="s">
        <v>866</v>
      </c>
    </row>
    <row r="341" spans="1:43" ht="12.75">
      <c r="A341" s="4" t="s">
        <v>165</v>
      </c>
      <c r="B341" s="4" t="s">
        <v>200</v>
      </c>
      <c r="C341" s="4" t="s">
        <v>364</v>
      </c>
      <c r="D341" s="4" t="s">
        <v>727</v>
      </c>
      <c r="E341" s="4" t="s">
        <v>777</v>
      </c>
      <c r="F341" s="17">
        <v>0.6</v>
      </c>
      <c r="G341" s="17"/>
      <c r="H341" s="17">
        <f t="shared" si="54"/>
        <v>0</v>
      </c>
      <c r="I341" s="17">
        <f t="shared" si="55"/>
        <v>0</v>
      </c>
      <c r="J341" s="17">
        <f t="shared" si="56"/>
        <v>0</v>
      </c>
      <c r="K341" s="17">
        <v>2E-05</v>
      </c>
      <c r="L341" s="17">
        <f t="shared" si="57"/>
        <v>1.2E-05</v>
      </c>
      <c r="M341" s="29" t="s">
        <v>804</v>
      </c>
      <c r="N341" s="29" t="s">
        <v>7</v>
      </c>
      <c r="O341" s="17">
        <f t="shared" si="58"/>
        <v>0</v>
      </c>
      <c r="Z341" s="17">
        <f t="shared" si="59"/>
        <v>0</v>
      </c>
      <c r="AA341" s="17">
        <f t="shared" si="60"/>
        <v>0</v>
      </c>
      <c r="AB341" s="17">
        <f t="shared" si="61"/>
        <v>0</v>
      </c>
      <c r="AD341" s="33">
        <v>21</v>
      </c>
      <c r="AE341" s="33">
        <f>G341*0.243704142011834</f>
        <v>0</v>
      </c>
      <c r="AF341" s="33">
        <f>G341*(1-0.243704142011834)</f>
        <v>0</v>
      </c>
      <c r="AM341" s="33">
        <f t="shared" si="62"/>
        <v>0</v>
      </c>
      <c r="AN341" s="33">
        <f t="shared" si="63"/>
        <v>0</v>
      </c>
      <c r="AO341" s="34" t="s">
        <v>848</v>
      </c>
      <c r="AP341" s="34" t="s">
        <v>865</v>
      </c>
      <c r="AQ341" s="26" t="s">
        <v>866</v>
      </c>
    </row>
    <row r="342" spans="1:43" ht="12.75">
      <c r="A342" s="4" t="s">
        <v>166</v>
      </c>
      <c r="B342" s="4" t="s">
        <v>200</v>
      </c>
      <c r="C342" s="4" t="s">
        <v>365</v>
      </c>
      <c r="D342" s="4" t="s">
        <v>728</v>
      </c>
      <c r="E342" s="4" t="s">
        <v>777</v>
      </c>
      <c r="F342" s="17">
        <v>0.6</v>
      </c>
      <c r="G342" s="17"/>
      <c r="H342" s="17">
        <f t="shared" si="54"/>
        <v>0</v>
      </c>
      <c r="I342" s="17">
        <f t="shared" si="55"/>
        <v>0</v>
      </c>
      <c r="J342" s="17">
        <f t="shared" si="56"/>
        <v>0</v>
      </c>
      <c r="K342" s="17">
        <v>0</v>
      </c>
      <c r="L342" s="17">
        <f t="shared" si="57"/>
        <v>0</v>
      </c>
      <c r="M342" s="29" t="s">
        <v>804</v>
      </c>
      <c r="N342" s="29" t="s">
        <v>7</v>
      </c>
      <c r="O342" s="17">
        <f t="shared" si="58"/>
        <v>0</v>
      </c>
      <c r="Z342" s="17">
        <f t="shared" si="59"/>
        <v>0</v>
      </c>
      <c r="AA342" s="17">
        <f t="shared" si="60"/>
        <v>0</v>
      </c>
      <c r="AB342" s="17">
        <f t="shared" si="61"/>
        <v>0</v>
      </c>
      <c r="AD342" s="33">
        <v>21</v>
      </c>
      <c r="AE342" s="33">
        <f>G342*0</f>
        <v>0</v>
      </c>
      <c r="AF342" s="33">
        <f>G342*(1-0)</f>
        <v>0</v>
      </c>
      <c r="AM342" s="33">
        <f t="shared" si="62"/>
        <v>0</v>
      </c>
      <c r="AN342" s="33">
        <f t="shared" si="63"/>
        <v>0</v>
      </c>
      <c r="AO342" s="34" t="s">
        <v>848</v>
      </c>
      <c r="AP342" s="34" t="s">
        <v>865</v>
      </c>
      <c r="AQ342" s="26" t="s">
        <v>866</v>
      </c>
    </row>
    <row r="343" spans="1:43" ht="12.75">
      <c r="A343" s="4" t="s">
        <v>167</v>
      </c>
      <c r="B343" s="4" t="s">
        <v>200</v>
      </c>
      <c r="C343" s="4" t="s">
        <v>366</v>
      </c>
      <c r="D343" s="4" t="s">
        <v>729</v>
      </c>
      <c r="E343" s="4" t="s">
        <v>777</v>
      </c>
      <c r="F343" s="17">
        <v>0.6</v>
      </c>
      <c r="G343" s="17"/>
      <c r="H343" s="17">
        <f t="shared" si="54"/>
        <v>0</v>
      </c>
      <c r="I343" s="17">
        <f t="shared" si="55"/>
        <v>0</v>
      </c>
      <c r="J343" s="17">
        <f t="shared" si="56"/>
        <v>0</v>
      </c>
      <c r="K343" s="17">
        <v>0</v>
      </c>
      <c r="L343" s="17">
        <f t="shared" si="57"/>
        <v>0</v>
      </c>
      <c r="M343" s="29" t="s">
        <v>804</v>
      </c>
      <c r="N343" s="29" t="s">
        <v>7</v>
      </c>
      <c r="O343" s="17">
        <f t="shared" si="58"/>
        <v>0</v>
      </c>
      <c r="Z343" s="17">
        <f t="shared" si="59"/>
        <v>0</v>
      </c>
      <c r="AA343" s="17">
        <f t="shared" si="60"/>
        <v>0</v>
      </c>
      <c r="AB343" s="17">
        <f t="shared" si="61"/>
        <v>0</v>
      </c>
      <c r="AD343" s="33">
        <v>21</v>
      </c>
      <c r="AE343" s="33">
        <f>G343*0</f>
        <v>0</v>
      </c>
      <c r="AF343" s="33">
        <f>G343*(1-0)</f>
        <v>0</v>
      </c>
      <c r="AM343" s="33">
        <f t="shared" si="62"/>
        <v>0</v>
      </c>
      <c r="AN343" s="33">
        <f t="shared" si="63"/>
        <v>0</v>
      </c>
      <c r="AO343" s="34" t="s">
        <v>848</v>
      </c>
      <c r="AP343" s="34" t="s">
        <v>865</v>
      </c>
      <c r="AQ343" s="26" t="s">
        <v>866</v>
      </c>
    </row>
    <row r="344" spans="1:43" ht="12.75">
      <c r="A344" s="4" t="s">
        <v>168</v>
      </c>
      <c r="B344" s="4" t="s">
        <v>200</v>
      </c>
      <c r="C344" s="4" t="s">
        <v>367</v>
      </c>
      <c r="D344" s="4" t="s">
        <v>730</v>
      </c>
      <c r="E344" s="4" t="s">
        <v>781</v>
      </c>
      <c r="F344" s="17">
        <v>1</v>
      </c>
      <c r="G344" s="17"/>
      <c r="H344" s="17">
        <f t="shared" si="54"/>
        <v>0</v>
      </c>
      <c r="I344" s="17">
        <f t="shared" si="55"/>
        <v>0</v>
      </c>
      <c r="J344" s="17">
        <f t="shared" si="56"/>
        <v>0</v>
      </c>
      <c r="K344" s="17">
        <v>0.06249</v>
      </c>
      <c r="L344" s="17">
        <f t="shared" si="57"/>
        <v>0.06249</v>
      </c>
      <c r="M344" s="29" t="s">
        <v>804</v>
      </c>
      <c r="N344" s="29" t="s">
        <v>7</v>
      </c>
      <c r="O344" s="17">
        <f t="shared" si="58"/>
        <v>0</v>
      </c>
      <c r="Z344" s="17">
        <f t="shared" si="59"/>
        <v>0</v>
      </c>
      <c r="AA344" s="17">
        <f t="shared" si="60"/>
        <v>0</v>
      </c>
      <c r="AB344" s="17">
        <f t="shared" si="61"/>
        <v>0</v>
      </c>
      <c r="AD344" s="33">
        <v>21</v>
      </c>
      <c r="AE344" s="33">
        <f>G344*0.0494714587737844</f>
        <v>0</v>
      </c>
      <c r="AF344" s="33">
        <f>G344*(1-0.0494714587737844)</f>
        <v>0</v>
      </c>
      <c r="AM344" s="33">
        <f t="shared" si="62"/>
        <v>0</v>
      </c>
      <c r="AN344" s="33">
        <f t="shared" si="63"/>
        <v>0</v>
      </c>
      <c r="AO344" s="34" t="s">
        <v>848</v>
      </c>
      <c r="AP344" s="34" t="s">
        <v>865</v>
      </c>
      <c r="AQ344" s="26" t="s">
        <v>866</v>
      </c>
    </row>
    <row r="345" spans="1:43" ht="12.75">
      <c r="A345" s="4" t="s">
        <v>169</v>
      </c>
      <c r="B345" s="4" t="s">
        <v>200</v>
      </c>
      <c r="C345" s="4" t="s">
        <v>368</v>
      </c>
      <c r="D345" s="4" t="s">
        <v>731</v>
      </c>
      <c r="E345" s="4" t="s">
        <v>777</v>
      </c>
      <c r="F345" s="17">
        <v>10</v>
      </c>
      <c r="G345" s="17"/>
      <c r="H345" s="17">
        <f t="shared" si="54"/>
        <v>0</v>
      </c>
      <c r="I345" s="17">
        <f t="shared" si="55"/>
        <v>0</v>
      </c>
      <c r="J345" s="17">
        <f t="shared" si="56"/>
        <v>0</v>
      </c>
      <c r="K345" s="17">
        <v>0.00949</v>
      </c>
      <c r="L345" s="17">
        <f t="shared" si="57"/>
        <v>0.0949</v>
      </c>
      <c r="M345" s="29" t="s">
        <v>804</v>
      </c>
      <c r="N345" s="29" t="s">
        <v>7</v>
      </c>
      <c r="O345" s="17">
        <f t="shared" si="58"/>
        <v>0</v>
      </c>
      <c r="Z345" s="17">
        <f t="shared" si="59"/>
        <v>0</v>
      </c>
      <c r="AA345" s="17">
        <f t="shared" si="60"/>
        <v>0</v>
      </c>
      <c r="AB345" s="17">
        <f t="shared" si="61"/>
        <v>0</v>
      </c>
      <c r="AD345" s="33">
        <v>21</v>
      </c>
      <c r="AE345" s="33">
        <f>G345*0.14480198019802</f>
        <v>0</v>
      </c>
      <c r="AF345" s="33">
        <f>G345*(1-0.14480198019802)</f>
        <v>0</v>
      </c>
      <c r="AM345" s="33">
        <f t="shared" si="62"/>
        <v>0</v>
      </c>
      <c r="AN345" s="33">
        <f t="shared" si="63"/>
        <v>0</v>
      </c>
      <c r="AO345" s="34" t="s">
        <v>848</v>
      </c>
      <c r="AP345" s="34" t="s">
        <v>865</v>
      </c>
      <c r="AQ345" s="26" t="s">
        <v>866</v>
      </c>
    </row>
    <row r="346" spans="1:43" ht="12.75">
      <c r="A346" s="4" t="s">
        <v>170</v>
      </c>
      <c r="B346" s="4" t="s">
        <v>200</v>
      </c>
      <c r="C346" s="4" t="s">
        <v>369</v>
      </c>
      <c r="D346" s="4" t="s">
        <v>732</v>
      </c>
      <c r="E346" s="4" t="s">
        <v>781</v>
      </c>
      <c r="F346" s="17">
        <v>4</v>
      </c>
      <c r="G346" s="17"/>
      <c r="H346" s="17">
        <f t="shared" si="54"/>
        <v>0</v>
      </c>
      <c r="I346" s="17">
        <f t="shared" si="55"/>
        <v>0</v>
      </c>
      <c r="J346" s="17">
        <f t="shared" si="56"/>
        <v>0</v>
      </c>
      <c r="K346" s="17">
        <v>0.27733</v>
      </c>
      <c r="L346" s="17">
        <f t="shared" si="57"/>
        <v>1.10932</v>
      </c>
      <c r="M346" s="29" t="s">
        <v>804</v>
      </c>
      <c r="N346" s="29" t="s">
        <v>7</v>
      </c>
      <c r="O346" s="17">
        <f t="shared" si="58"/>
        <v>0</v>
      </c>
      <c r="Z346" s="17">
        <f t="shared" si="59"/>
        <v>0</v>
      </c>
      <c r="AA346" s="17">
        <f t="shared" si="60"/>
        <v>0</v>
      </c>
      <c r="AB346" s="17">
        <f t="shared" si="61"/>
        <v>0</v>
      </c>
      <c r="AD346" s="33">
        <v>21</v>
      </c>
      <c r="AE346" s="33">
        <f>G346*0.0649846153846154</f>
        <v>0</v>
      </c>
      <c r="AF346" s="33">
        <f>G346*(1-0.0649846153846154)</f>
        <v>0</v>
      </c>
      <c r="AM346" s="33">
        <f t="shared" si="62"/>
        <v>0</v>
      </c>
      <c r="AN346" s="33">
        <f t="shared" si="63"/>
        <v>0</v>
      </c>
      <c r="AO346" s="34" t="s">
        <v>848</v>
      </c>
      <c r="AP346" s="34" t="s">
        <v>865</v>
      </c>
      <c r="AQ346" s="26" t="s">
        <v>866</v>
      </c>
    </row>
    <row r="347" spans="1:37" ht="12.75">
      <c r="A347" s="3"/>
      <c r="B347" s="11" t="s">
        <v>200</v>
      </c>
      <c r="C347" s="11" t="s">
        <v>370</v>
      </c>
      <c r="D347" s="79" t="s">
        <v>733</v>
      </c>
      <c r="E347" s="80"/>
      <c r="F347" s="80"/>
      <c r="G347" s="80"/>
      <c r="H347" s="35">
        <f>SUM(H348:H348)</f>
        <v>0</v>
      </c>
      <c r="I347" s="35">
        <f>SUM(I348:I348)</f>
        <v>0</v>
      </c>
      <c r="J347" s="35">
        <f>H347+I347</f>
        <v>0</v>
      </c>
      <c r="K347" s="26"/>
      <c r="L347" s="35">
        <f>SUM(L348:L348)</f>
        <v>0</v>
      </c>
      <c r="M347" s="26"/>
      <c r="P347" s="35">
        <f>IF(Q347="PR",J347,SUM(O348:O348))</f>
        <v>0</v>
      </c>
      <c r="Q347" s="26" t="s">
        <v>808</v>
      </c>
      <c r="R347" s="35">
        <f>IF(Q347="HS",H347,0)</f>
        <v>0</v>
      </c>
      <c r="S347" s="35">
        <f>IF(Q347="HS",I347-P347,0)</f>
        <v>0</v>
      </c>
      <c r="T347" s="35">
        <f>IF(Q347="PS",H347,0)</f>
        <v>0</v>
      </c>
      <c r="U347" s="35">
        <f>IF(Q347="PS",I347-P347,0)</f>
        <v>0</v>
      </c>
      <c r="V347" s="35">
        <f>IF(Q347="MP",H347,0)</f>
        <v>0</v>
      </c>
      <c r="W347" s="35">
        <f>IF(Q347="MP",I347-P347,0)</f>
        <v>0</v>
      </c>
      <c r="X347" s="35">
        <f>IF(Q347="OM",H347,0)</f>
        <v>0</v>
      </c>
      <c r="Y347" s="26" t="s">
        <v>200</v>
      </c>
      <c r="AI347" s="35">
        <f>SUM(Z348:Z348)</f>
        <v>0</v>
      </c>
      <c r="AJ347" s="35">
        <f>SUM(AA348:AA348)</f>
        <v>0</v>
      </c>
      <c r="AK347" s="35">
        <f>SUM(AB348:AB348)</f>
        <v>0</v>
      </c>
    </row>
    <row r="348" spans="1:43" ht="12.75">
      <c r="A348" s="4" t="s">
        <v>171</v>
      </c>
      <c r="B348" s="4" t="s">
        <v>200</v>
      </c>
      <c r="C348" s="4" t="s">
        <v>371</v>
      </c>
      <c r="D348" s="4" t="s">
        <v>734</v>
      </c>
      <c r="E348" s="4" t="s">
        <v>779</v>
      </c>
      <c r="F348" s="17">
        <v>450.74</v>
      </c>
      <c r="G348" s="17"/>
      <c r="H348" s="17">
        <f>F348*AE348</f>
        <v>0</v>
      </c>
      <c r="I348" s="17">
        <f>J348-H348</f>
        <v>0</v>
      </c>
      <c r="J348" s="17">
        <f>F348*G348</f>
        <v>0</v>
      </c>
      <c r="K348" s="17">
        <v>0</v>
      </c>
      <c r="L348" s="17">
        <f>F348*K348</f>
        <v>0</v>
      </c>
      <c r="M348" s="29" t="s">
        <v>804</v>
      </c>
      <c r="N348" s="29" t="s">
        <v>11</v>
      </c>
      <c r="O348" s="17">
        <f>IF(N348="5",I348,0)</f>
        <v>0</v>
      </c>
      <c r="Z348" s="17">
        <f>IF(AD348=0,J348,0)</f>
        <v>0</v>
      </c>
      <c r="AA348" s="17">
        <f>IF(AD348=15,J348,0)</f>
        <v>0</v>
      </c>
      <c r="AB348" s="17">
        <f>IF(AD348=21,J348,0)</f>
        <v>0</v>
      </c>
      <c r="AD348" s="33">
        <v>21</v>
      </c>
      <c r="AE348" s="33">
        <f>G348*0</f>
        <v>0</v>
      </c>
      <c r="AF348" s="33">
        <f>G348*(1-0)</f>
        <v>0</v>
      </c>
      <c r="AM348" s="33">
        <f>F348*AE348</f>
        <v>0</v>
      </c>
      <c r="AN348" s="33">
        <f>F348*AF348</f>
        <v>0</v>
      </c>
      <c r="AO348" s="34" t="s">
        <v>849</v>
      </c>
      <c r="AP348" s="34" t="s">
        <v>865</v>
      </c>
      <c r="AQ348" s="26" t="s">
        <v>866</v>
      </c>
    </row>
    <row r="349" spans="1:37" ht="12.75">
      <c r="A349" s="3"/>
      <c r="B349" s="11" t="s">
        <v>200</v>
      </c>
      <c r="C349" s="11" t="s">
        <v>372</v>
      </c>
      <c r="D349" s="79" t="s">
        <v>735</v>
      </c>
      <c r="E349" s="80"/>
      <c r="F349" s="80"/>
      <c r="G349" s="80"/>
      <c r="H349" s="35">
        <f>SUM(H350:H352)</f>
        <v>0</v>
      </c>
      <c r="I349" s="35">
        <f>SUM(I350:I352)</f>
        <v>0</v>
      </c>
      <c r="J349" s="35">
        <f>H349+I349</f>
        <v>0</v>
      </c>
      <c r="K349" s="26"/>
      <c r="L349" s="35">
        <f>SUM(L350:L352)</f>
        <v>0</v>
      </c>
      <c r="M349" s="26"/>
      <c r="P349" s="35">
        <f>IF(Q349="PR",J349,SUM(O350:O352))</f>
        <v>0</v>
      </c>
      <c r="Q349" s="26" t="s">
        <v>808</v>
      </c>
      <c r="R349" s="35">
        <f>IF(Q349="HS",H349,0)</f>
        <v>0</v>
      </c>
      <c r="S349" s="35">
        <f>IF(Q349="HS",I349-P349,0)</f>
        <v>0</v>
      </c>
      <c r="T349" s="35">
        <f>IF(Q349="PS",H349,0)</f>
        <v>0</v>
      </c>
      <c r="U349" s="35">
        <f>IF(Q349="PS",I349-P349,0)</f>
        <v>0</v>
      </c>
      <c r="V349" s="35">
        <f>IF(Q349="MP",H349,0)</f>
        <v>0</v>
      </c>
      <c r="W349" s="35">
        <f>IF(Q349="MP",I349-P349,0)</f>
        <v>0</v>
      </c>
      <c r="X349" s="35">
        <f>IF(Q349="OM",H349,0)</f>
        <v>0</v>
      </c>
      <c r="Y349" s="26" t="s">
        <v>200</v>
      </c>
      <c r="AI349" s="35">
        <f>SUM(Z350:Z352)</f>
        <v>0</v>
      </c>
      <c r="AJ349" s="35">
        <f>SUM(AA350:AA352)</f>
        <v>0</v>
      </c>
      <c r="AK349" s="35">
        <f>SUM(AB350:AB352)</f>
        <v>0</v>
      </c>
    </row>
    <row r="350" spans="1:43" ht="12.75">
      <c r="A350" s="4" t="s">
        <v>172</v>
      </c>
      <c r="B350" s="4" t="s">
        <v>200</v>
      </c>
      <c r="C350" s="4" t="s">
        <v>373</v>
      </c>
      <c r="D350" s="4" t="s">
        <v>736</v>
      </c>
      <c r="E350" s="4" t="s">
        <v>781</v>
      </c>
      <c r="F350" s="17">
        <v>1</v>
      </c>
      <c r="G350" s="17"/>
      <c r="H350" s="17">
        <f>F350*AE350</f>
        <v>0</v>
      </c>
      <c r="I350" s="17">
        <f>J350-H350</f>
        <v>0</v>
      </c>
      <c r="J350" s="17">
        <f>F350*G350</f>
        <v>0</v>
      </c>
      <c r="K350" s="17">
        <v>0</v>
      </c>
      <c r="L350" s="17">
        <f>F350*K350</f>
        <v>0</v>
      </c>
      <c r="M350" s="29"/>
      <c r="N350" s="29" t="s">
        <v>8</v>
      </c>
      <c r="O350" s="17">
        <f>IF(N350="5",I350,0)</f>
        <v>0</v>
      </c>
      <c r="Z350" s="17">
        <f>IF(AD350=0,J350,0)</f>
        <v>0</v>
      </c>
      <c r="AA350" s="17">
        <f>IF(AD350=15,J350,0)</f>
        <v>0</v>
      </c>
      <c r="AB350" s="17">
        <f>IF(AD350=21,J350,0)</f>
        <v>0</v>
      </c>
      <c r="AD350" s="33">
        <v>21</v>
      </c>
      <c r="AE350" s="33">
        <f>G350*0</f>
        <v>0</v>
      </c>
      <c r="AF350" s="33">
        <f>G350*(1-0)</f>
        <v>0</v>
      </c>
      <c r="AM350" s="33">
        <f>F350*AE350</f>
        <v>0</v>
      </c>
      <c r="AN350" s="33">
        <f>F350*AF350</f>
        <v>0</v>
      </c>
      <c r="AO350" s="34" t="s">
        <v>850</v>
      </c>
      <c r="AP350" s="34" t="s">
        <v>865</v>
      </c>
      <c r="AQ350" s="26" t="s">
        <v>866</v>
      </c>
    </row>
    <row r="351" spans="1:43" ht="12.75">
      <c r="A351" s="4" t="s">
        <v>173</v>
      </c>
      <c r="B351" s="4" t="s">
        <v>200</v>
      </c>
      <c r="C351" s="4" t="s">
        <v>374</v>
      </c>
      <c r="D351" s="4" t="s">
        <v>737</v>
      </c>
      <c r="E351" s="4" t="s">
        <v>777</v>
      </c>
      <c r="F351" s="17">
        <v>147</v>
      </c>
      <c r="G351" s="17"/>
      <c r="H351" s="17">
        <f>F351*AE351</f>
        <v>0</v>
      </c>
      <c r="I351" s="17">
        <f>J351-H351</f>
        <v>0</v>
      </c>
      <c r="J351" s="17">
        <f>F351*G351</f>
        <v>0</v>
      </c>
      <c r="K351" s="17">
        <v>0</v>
      </c>
      <c r="L351" s="17">
        <f>F351*K351</f>
        <v>0</v>
      </c>
      <c r="M351" s="29"/>
      <c r="N351" s="29" t="s">
        <v>8</v>
      </c>
      <c r="O351" s="17">
        <f>IF(N351="5",I351,0)</f>
        <v>0</v>
      </c>
      <c r="Z351" s="17">
        <f>IF(AD351=0,J351,0)</f>
        <v>0</v>
      </c>
      <c r="AA351" s="17">
        <f>IF(AD351=15,J351,0)</f>
        <v>0</v>
      </c>
      <c r="AB351" s="17">
        <f>IF(AD351=21,J351,0)</f>
        <v>0</v>
      </c>
      <c r="AD351" s="33">
        <v>21</v>
      </c>
      <c r="AE351" s="33">
        <f>G351*0</f>
        <v>0</v>
      </c>
      <c r="AF351" s="33">
        <f>G351*(1-0)</f>
        <v>0</v>
      </c>
      <c r="AM351" s="33">
        <f>F351*AE351</f>
        <v>0</v>
      </c>
      <c r="AN351" s="33">
        <f>F351*AF351</f>
        <v>0</v>
      </c>
      <c r="AO351" s="34" t="s">
        <v>850</v>
      </c>
      <c r="AP351" s="34" t="s">
        <v>865</v>
      </c>
      <c r="AQ351" s="26" t="s">
        <v>866</v>
      </c>
    </row>
    <row r="352" spans="1:43" ht="12.75">
      <c r="A352" s="4" t="s">
        <v>174</v>
      </c>
      <c r="B352" s="4" t="s">
        <v>200</v>
      </c>
      <c r="C352" s="4" t="s">
        <v>375</v>
      </c>
      <c r="D352" s="4" t="s">
        <v>738</v>
      </c>
      <c r="E352" s="4" t="s">
        <v>777</v>
      </c>
      <c r="F352" s="17">
        <v>5</v>
      </c>
      <c r="G352" s="17"/>
      <c r="H352" s="17">
        <f>F352*AE352</f>
        <v>0</v>
      </c>
      <c r="I352" s="17">
        <f>J352-H352</f>
        <v>0</v>
      </c>
      <c r="J352" s="17">
        <f>F352*G352</f>
        <v>0</v>
      </c>
      <c r="K352" s="17">
        <v>0</v>
      </c>
      <c r="L352" s="17">
        <f>F352*K352</f>
        <v>0</v>
      </c>
      <c r="M352" s="29"/>
      <c r="N352" s="29" t="s">
        <v>8</v>
      </c>
      <c r="O352" s="17">
        <f>IF(N352="5",I352,0)</f>
        <v>0</v>
      </c>
      <c r="Z352" s="17">
        <f>IF(AD352=0,J352,0)</f>
        <v>0</v>
      </c>
      <c r="AA352" s="17">
        <f>IF(AD352=15,J352,0)</f>
        <v>0</v>
      </c>
      <c r="AB352" s="17">
        <f>IF(AD352=21,J352,0)</f>
        <v>0</v>
      </c>
      <c r="AD352" s="33">
        <v>21</v>
      </c>
      <c r="AE352" s="33">
        <f>G352*0</f>
        <v>0</v>
      </c>
      <c r="AF352" s="33">
        <f>G352*(1-0)</f>
        <v>0</v>
      </c>
      <c r="AM352" s="33">
        <f>F352*AE352</f>
        <v>0</v>
      </c>
      <c r="AN352" s="33">
        <f>F352*AF352</f>
        <v>0</v>
      </c>
      <c r="AO352" s="34" t="s">
        <v>850</v>
      </c>
      <c r="AP352" s="34" t="s">
        <v>865</v>
      </c>
      <c r="AQ352" s="26" t="s">
        <v>866</v>
      </c>
    </row>
    <row r="353" spans="1:37" ht="12.75">
      <c r="A353" s="3"/>
      <c r="B353" s="11" t="s">
        <v>200</v>
      </c>
      <c r="C353" s="11" t="s">
        <v>376</v>
      </c>
      <c r="D353" s="79" t="s">
        <v>739</v>
      </c>
      <c r="E353" s="80"/>
      <c r="F353" s="80"/>
      <c r="G353" s="80"/>
      <c r="H353" s="35">
        <f>SUM(H354:H359)</f>
        <v>0</v>
      </c>
      <c r="I353" s="35">
        <f>SUM(I354:I359)</f>
        <v>0</v>
      </c>
      <c r="J353" s="35">
        <f>H353+I353</f>
        <v>0</v>
      </c>
      <c r="K353" s="26"/>
      <c r="L353" s="35">
        <f>SUM(L354:L359)</f>
        <v>12.756960000000001</v>
      </c>
      <c r="M353" s="26"/>
      <c r="P353" s="35">
        <f>IF(Q353="PR",J353,SUM(O354:O359))</f>
        <v>0</v>
      </c>
      <c r="Q353" s="26" t="s">
        <v>810</v>
      </c>
      <c r="R353" s="35">
        <f>IF(Q353="HS",H353,0)</f>
        <v>0</v>
      </c>
      <c r="S353" s="35">
        <f>IF(Q353="HS",I353-P353,0)</f>
        <v>0</v>
      </c>
      <c r="T353" s="35">
        <f>IF(Q353="PS",H353,0)</f>
        <v>0</v>
      </c>
      <c r="U353" s="35">
        <f>IF(Q353="PS",I353-P353,0)</f>
        <v>0</v>
      </c>
      <c r="V353" s="35">
        <f>IF(Q353="MP",H353,0)</f>
        <v>0</v>
      </c>
      <c r="W353" s="35">
        <f>IF(Q353="MP",I353-P353,0)</f>
        <v>0</v>
      </c>
      <c r="X353" s="35">
        <f>IF(Q353="OM",H353,0)</f>
        <v>0</v>
      </c>
      <c r="Y353" s="26" t="s">
        <v>200</v>
      </c>
      <c r="AI353" s="35">
        <f>SUM(Z354:Z359)</f>
        <v>0</v>
      </c>
      <c r="AJ353" s="35">
        <f>SUM(AA354:AA359)</f>
        <v>0</v>
      </c>
      <c r="AK353" s="35">
        <f>SUM(AB354:AB359)</f>
        <v>0</v>
      </c>
    </row>
    <row r="354" spans="1:43" ht="12.75">
      <c r="A354" s="4" t="s">
        <v>175</v>
      </c>
      <c r="B354" s="4" t="s">
        <v>200</v>
      </c>
      <c r="C354" s="4" t="s">
        <v>377</v>
      </c>
      <c r="D354" s="4" t="s">
        <v>740</v>
      </c>
      <c r="E354" s="4" t="s">
        <v>777</v>
      </c>
      <c r="F354" s="17">
        <v>19</v>
      </c>
      <c r="G354" s="17"/>
      <c r="H354" s="17">
        <f aca="true" t="shared" si="64" ref="H354:H359">F354*AE354</f>
        <v>0</v>
      </c>
      <c r="I354" s="17">
        <f aca="true" t="shared" si="65" ref="I354:I359">J354-H354</f>
        <v>0</v>
      </c>
      <c r="J354" s="17">
        <f aca="true" t="shared" si="66" ref="J354:J359">F354*G354</f>
        <v>0</v>
      </c>
      <c r="K354" s="17">
        <v>0.66969</v>
      </c>
      <c r="L354" s="17">
        <f aca="true" t="shared" si="67" ref="L354:L359">F354*K354</f>
        <v>12.72411</v>
      </c>
      <c r="M354" s="29" t="s">
        <v>804</v>
      </c>
      <c r="N354" s="29" t="s">
        <v>9</v>
      </c>
      <c r="O354" s="17">
        <f aca="true" t="shared" si="68" ref="O354:O359">IF(N354="5",I354,0)</f>
        <v>0</v>
      </c>
      <c r="Z354" s="17">
        <f aca="true" t="shared" si="69" ref="Z354:Z359">IF(AD354=0,J354,0)</f>
        <v>0</v>
      </c>
      <c r="AA354" s="17">
        <f aca="true" t="shared" si="70" ref="AA354:AA359">IF(AD354=15,J354,0)</f>
        <v>0</v>
      </c>
      <c r="AB354" s="17">
        <f aca="true" t="shared" si="71" ref="AB354:AB359">IF(AD354=21,J354,0)</f>
        <v>0</v>
      </c>
      <c r="AD354" s="33">
        <v>21</v>
      </c>
      <c r="AE354" s="33">
        <f>G354*0.538309926762038</f>
        <v>0</v>
      </c>
      <c r="AF354" s="33">
        <f>G354*(1-0.538309926762038)</f>
        <v>0</v>
      </c>
      <c r="AM354" s="33">
        <f aca="true" t="shared" si="72" ref="AM354:AM359">F354*AE354</f>
        <v>0</v>
      </c>
      <c r="AN354" s="33">
        <f aca="true" t="shared" si="73" ref="AN354:AN359">F354*AF354</f>
        <v>0</v>
      </c>
      <c r="AO354" s="34" t="s">
        <v>851</v>
      </c>
      <c r="AP354" s="34" t="s">
        <v>865</v>
      </c>
      <c r="AQ354" s="26" t="s">
        <v>866</v>
      </c>
    </row>
    <row r="355" spans="1:43" ht="12.75">
      <c r="A355" s="4" t="s">
        <v>176</v>
      </c>
      <c r="B355" s="4" t="s">
        <v>200</v>
      </c>
      <c r="C355" s="4" t="s">
        <v>378</v>
      </c>
      <c r="D355" s="4" t="s">
        <v>741</v>
      </c>
      <c r="E355" s="4" t="s">
        <v>777</v>
      </c>
      <c r="F355" s="17">
        <v>30</v>
      </c>
      <c r="G355" s="17"/>
      <c r="H355" s="17">
        <f t="shared" si="64"/>
        <v>0</v>
      </c>
      <c r="I355" s="17">
        <f t="shared" si="65"/>
        <v>0</v>
      </c>
      <c r="J355" s="17">
        <f t="shared" si="66"/>
        <v>0</v>
      </c>
      <c r="K355" s="17">
        <v>0.00032</v>
      </c>
      <c r="L355" s="17">
        <f t="shared" si="67"/>
        <v>0.009600000000000001</v>
      </c>
      <c r="M355" s="29" t="s">
        <v>804</v>
      </c>
      <c r="N355" s="29" t="s">
        <v>8</v>
      </c>
      <c r="O355" s="17">
        <f t="shared" si="68"/>
        <v>0</v>
      </c>
      <c r="Z355" s="17">
        <f t="shared" si="69"/>
        <v>0</v>
      </c>
      <c r="AA355" s="17">
        <f t="shared" si="70"/>
        <v>0</v>
      </c>
      <c r="AB355" s="17">
        <f t="shared" si="71"/>
        <v>0</v>
      </c>
      <c r="AD355" s="33">
        <v>21</v>
      </c>
      <c r="AE355" s="33">
        <f>G355*0.634903640256959</f>
        <v>0</v>
      </c>
      <c r="AF355" s="33">
        <f>G355*(1-0.634903640256959)</f>
        <v>0</v>
      </c>
      <c r="AM355" s="33">
        <f t="shared" si="72"/>
        <v>0</v>
      </c>
      <c r="AN355" s="33">
        <f t="shared" si="73"/>
        <v>0</v>
      </c>
      <c r="AO355" s="34" t="s">
        <v>851</v>
      </c>
      <c r="AP355" s="34" t="s">
        <v>865</v>
      </c>
      <c r="AQ355" s="26" t="s">
        <v>866</v>
      </c>
    </row>
    <row r="356" spans="1:43" ht="12.75">
      <c r="A356" s="4" t="s">
        <v>177</v>
      </c>
      <c r="B356" s="4" t="s">
        <v>200</v>
      </c>
      <c r="C356" s="4" t="s">
        <v>379</v>
      </c>
      <c r="D356" s="4" t="s">
        <v>742</v>
      </c>
      <c r="E356" s="4" t="s">
        <v>781</v>
      </c>
      <c r="F356" s="17">
        <v>2</v>
      </c>
      <c r="G356" s="17"/>
      <c r="H356" s="17">
        <f t="shared" si="64"/>
        <v>0</v>
      </c>
      <c r="I356" s="17">
        <f t="shared" si="65"/>
        <v>0</v>
      </c>
      <c r="J356" s="17">
        <f t="shared" si="66"/>
        <v>0</v>
      </c>
      <c r="K356" s="17">
        <v>0</v>
      </c>
      <c r="L356" s="17">
        <f t="shared" si="67"/>
        <v>0</v>
      </c>
      <c r="M356" s="29" t="s">
        <v>804</v>
      </c>
      <c r="N356" s="29" t="s">
        <v>8</v>
      </c>
      <c r="O356" s="17">
        <f t="shared" si="68"/>
        <v>0</v>
      </c>
      <c r="Z356" s="17">
        <f t="shared" si="69"/>
        <v>0</v>
      </c>
      <c r="AA356" s="17">
        <f t="shared" si="70"/>
        <v>0</v>
      </c>
      <c r="AB356" s="17">
        <f t="shared" si="71"/>
        <v>0</v>
      </c>
      <c r="AD356" s="33">
        <v>21</v>
      </c>
      <c r="AE356" s="33">
        <f>G356*0</f>
        <v>0</v>
      </c>
      <c r="AF356" s="33">
        <f>G356*(1-0)</f>
        <v>0</v>
      </c>
      <c r="AM356" s="33">
        <f t="shared" si="72"/>
        <v>0</v>
      </c>
      <c r="AN356" s="33">
        <f t="shared" si="73"/>
        <v>0</v>
      </c>
      <c r="AO356" s="34" t="s">
        <v>851</v>
      </c>
      <c r="AP356" s="34" t="s">
        <v>865</v>
      </c>
      <c r="AQ356" s="26" t="s">
        <v>866</v>
      </c>
    </row>
    <row r="357" spans="1:43" ht="12.75">
      <c r="A357" s="4" t="s">
        <v>178</v>
      </c>
      <c r="B357" s="4" t="s">
        <v>200</v>
      </c>
      <c r="C357" s="4" t="s">
        <v>380</v>
      </c>
      <c r="D357" s="4" t="s">
        <v>743</v>
      </c>
      <c r="E357" s="4" t="s">
        <v>777</v>
      </c>
      <c r="F357" s="17">
        <v>25</v>
      </c>
      <c r="G357" s="17"/>
      <c r="H357" s="17">
        <f t="shared" si="64"/>
        <v>0</v>
      </c>
      <c r="I357" s="17">
        <f t="shared" si="65"/>
        <v>0</v>
      </c>
      <c r="J357" s="17">
        <f t="shared" si="66"/>
        <v>0</v>
      </c>
      <c r="K357" s="17">
        <v>0.00093</v>
      </c>
      <c r="L357" s="17">
        <f t="shared" si="67"/>
        <v>0.02325</v>
      </c>
      <c r="M357" s="29" t="s">
        <v>804</v>
      </c>
      <c r="N357" s="29" t="s">
        <v>8</v>
      </c>
      <c r="O357" s="17">
        <f t="shared" si="68"/>
        <v>0</v>
      </c>
      <c r="Z357" s="17">
        <f t="shared" si="69"/>
        <v>0</v>
      </c>
      <c r="AA357" s="17">
        <f t="shared" si="70"/>
        <v>0</v>
      </c>
      <c r="AB357" s="17">
        <f t="shared" si="71"/>
        <v>0</v>
      </c>
      <c r="AD357" s="33">
        <v>21</v>
      </c>
      <c r="AE357" s="33">
        <f>G357*0.864904632152589</f>
        <v>0</v>
      </c>
      <c r="AF357" s="33">
        <f>G357*(1-0.864904632152589)</f>
        <v>0</v>
      </c>
      <c r="AM357" s="33">
        <f t="shared" si="72"/>
        <v>0</v>
      </c>
      <c r="AN357" s="33">
        <f t="shared" si="73"/>
        <v>0</v>
      </c>
      <c r="AO357" s="34" t="s">
        <v>851</v>
      </c>
      <c r="AP357" s="34" t="s">
        <v>865</v>
      </c>
      <c r="AQ357" s="26" t="s">
        <v>866</v>
      </c>
    </row>
    <row r="358" spans="1:43" ht="12.75">
      <c r="A358" s="4" t="s">
        <v>179</v>
      </c>
      <c r="B358" s="4" t="s">
        <v>200</v>
      </c>
      <c r="C358" s="4" t="s">
        <v>381</v>
      </c>
      <c r="D358" s="4" t="s">
        <v>744</v>
      </c>
      <c r="E358" s="4" t="s">
        <v>777</v>
      </c>
      <c r="F358" s="17">
        <v>44</v>
      </c>
      <c r="G358" s="17"/>
      <c r="H358" s="17">
        <f t="shared" si="64"/>
        <v>0</v>
      </c>
      <c r="I358" s="17">
        <f t="shared" si="65"/>
        <v>0</v>
      </c>
      <c r="J358" s="17">
        <f t="shared" si="66"/>
        <v>0</v>
      </c>
      <c r="K358" s="17">
        <v>0</v>
      </c>
      <c r="L358" s="17">
        <f t="shared" si="67"/>
        <v>0</v>
      </c>
      <c r="M358" s="29" t="s">
        <v>804</v>
      </c>
      <c r="N358" s="29" t="s">
        <v>8</v>
      </c>
      <c r="O358" s="17">
        <f t="shared" si="68"/>
        <v>0</v>
      </c>
      <c r="Z358" s="17">
        <f t="shared" si="69"/>
        <v>0</v>
      </c>
      <c r="AA358" s="17">
        <f t="shared" si="70"/>
        <v>0</v>
      </c>
      <c r="AB358" s="17">
        <f t="shared" si="71"/>
        <v>0</v>
      </c>
      <c r="AD358" s="33">
        <v>21</v>
      </c>
      <c r="AE358" s="33">
        <f>G358*0</f>
        <v>0</v>
      </c>
      <c r="AF358" s="33">
        <f>G358*(1-0)</f>
        <v>0</v>
      </c>
      <c r="AM358" s="33">
        <f t="shared" si="72"/>
        <v>0</v>
      </c>
      <c r="AN358" s="33">
        <f t="shared" si="73"/>
        <v>0</v>
      </c>
      <c r="AO358" s="34" t="s">
        <v>851</v>
      </c>
      <c r="AP358" s="34" t="s">
        <v>865</v>
      </c>
      <c r="AQ358" s="26" t="s">
        <v>866</v>
      </c>
    </row>
    <row r="359" spans="1:43" ht="12.75">
      <c r="A359" s="4" t="s">
        <v>180</v>
      </c>
      <c r="B359" s="4" t="s">
        <v>200</v>
      </c>
      <c r="C359" s="4" t="s">
        <v>382</v>
      </c>
      <c r="D359" s="4" t="s">
        <v>745</v>
      </c>
      <c r="E359" s="4" t="s">
        <v>777</v>
      </c>
      <c r="F359" s="17">
        <v>9</v>
      </c>
      <c r="G359" s="17"/>
      <c r="H359" s="17">
        <f t="shared" si="64"/>
        <v>0</v>
      </c>
      <c r="I359" s="17">
        <f t="shared" si="65"/>
        <v>0</v>
      </c>
      <c r="J359" s="17">
        <f t="shared" si="66"/>
        <v>0</v>
      </c>
      <c r="K359" s="17">
        <v>0</v>
      </c>
      <c r="L359" s="17">
        <f t="shared" si="67"/>
        <v>0</v>
      </c>
      <c r="M359" s="29" t="s">
        <v>804</v>
      </c>
      <c r="N359" s="29" t="s">
        <v>8</v>
      </c>
      <c r="O359" s="17">
        <f t="shared" si="68"/>
        <v>0</v>
      </c>
      <c r="Z359" s="17">
        <f t="shared" si="69"/>
        <v>0</v>
      </c>
      <c r="AA359" s="17">
        <f t="shared" si="70"/>
        <v>0</v>
      </c>
      <c r="AB359" s="17">
        <f t="shared" si="71"/>
        <v>0</v>
      </c>
      <c r="AD359" s="33">
        <v>21</v>
      </c>
      <c r="AE359" s="33">
        <f>G359*0</f>
        <v>0</v>
      </c>
      <c r="AF359" s="33">
        <f>G359*(1-0)</f>
        <v>0</v>
      </c>
      <c r="AM359" s="33">
        <f t="shared" si="72"/>
        <v>0</v>
      </c>
      <c r="AN359" s="33">
        <f t="shared" si="73"/>
        <v>0</v>
      </c>
      <c r="AO359" s="34" t="s">
        <v>851</v>
      </c>
      <c r="AP359" s="34" t="s">
        <v>865</v>
      </c>
      <c r="AQ359" s="26" t="s">
        <v>866</v>
      </c>
    </row>
    <row r="360" spans="1:37" ht="12.75">
      <c r="A360" s="3"/>
      <c r="B360" s="11" t="s">
        <v>200</v>
      </c>
      <c r="C360" s="11" t="s">
        <v>383</v>
      </c>
      <c r="D360" s="79" t="s">
        <v>746</v>
      </c>
      <c r="E360" s="80"/>
      <c r="F360" s="80"/>
      <c r="G360" s="80"/>
      <c r="H360" s="35">
        <f>SUM(H361:H368)</f>
        <v>0</v>
      </c>
      <c r="I360" s="35">
        <f>SUM(I361:I368)</f>
        <v>0</v>
      </c>
      <c r="J360" s="35">
        <f>H360+I360</f>
        <v>0</v>
      </c>
      <c r="K360" s="26"/>
      <c r="L360" s="35">
        <f>SUM(L361:L368)</f>
        <v>14.027719999999999</v>
      </c>
      <c r="M360" s="26"/>
      <c r="P360" s="35">
        <f>IF(Q360="PR",J360,SUM(O361:O368))</f>
        <v>0</v>
      </c>
      <c r="Q360" s="26" t="s">
        <v>810</v>
      </c>
      <c r="R360" s="35">
        <f>IF(Q360="HS",H360,0)</f>
        <v>0</v>
      </c>
      <c r="S360" s="35">
        <f>IF(Q360="HS",I360-P360,0)</f>
        <v>0</v>
      </c>
      <c r="T360" s="35">
        <f>IF(Q360="PS",H360,0)</f>
        <v>0</v>
      </c>
      <c r="U360" s="35">
        <f>IF(Q360="PS",I360-P360,0)</f>
        <v>0</v>
      </c>
      <c r="V360" s="35">
        <f>IF(Q360="MP",H360,0)</f>
        <v>0</v>
      </c>
      <c r="W360" s="35">
        <f>IF(Q360="MP",I360-P360,0)</f>
        <v>0</v>
      </c>
      <c r="X360" s="35">
        <f>IF(Q360="OM",H360,0)</f>
        <v>0</v>
      </c>
      <c r="Y360" s="26" t="s">
        <v>200</v>
      </c>
      <c r="AI360" s="35">
        <f>SUM(Z361:Z368)</f>
        <v>0</v>
      </c>
      <c r="AJ360" s="35">
        <f>SUM(AA361:AA368)</f>
        <v>0</v>
      </c>
      <c r="AK360" s="35">
        <f>SUM(AB361:AB368)</f>
        <v>0</v>
      </c>
    </row>
    <row r="361" spans="1:43" ht="12.75">
      <c r="A361" s="4" t="s">
        <v>181</v>
      </c>
      <c r="B361" s="4" t="s">
        <v>200</v>
      </c>
      <c r="C361" s="4" t="s">
        <v>384</v>
      </c>
      <c r="D361" s="4" t="s">
        <v>747</v>
      </c>
      <c r="E361" s="4" t="s">
        <v>781</v>
      </c>
      <c r="F361" s="17">
        <v>1</v>
      </c>
      <c r="G361" s="17"/>
      <c r="H361" s="17">
        <f>F361*AE361</f>
        <v>0</v>
      </c>
      <c r="I361" s="17">
        <f>J361-H361</f>
        <v>0</v>
      </c>
      <c r="J361" s="17">
        <f>F361*G361</f>
        <v>0</v>
      </c>
      <c r="K361" s="17">
        <v>0.01352</v>
      </c>
      <c r="L361" s="17">
        <f>F361*K361</f>
        <v>0.01352</v>
      </c>
      <c r="M361" s="29" t="s">
        <v>804</v>
      </c>
      <c r="N361" s="29" t="s">
        <v>8</v>
      </c>
      <c r="O361" s="17">
        <f>IF(N361="5",I361,0)</f>
        <v>0</v>
      </c>
      <c r="Z361" s="17">
        <f>IF(AD361=0,J361,0)</f>
        <v>0</v>
      </c>
      <c r="AA361" s="17">
        <f>IF(AD361=15,J361,0)</f>
        <v>0</v>
      </c>
      <c r="AB361" s="17">
        <f>IF(AD361=21,J361,0)</f>
        <v>0</v>
      </c>
      <c r="AD361" s="33">
        <v>21</v>
      </c>
      <c r="AE361" s="33">
        <f>G361*0.0115654118919148</f>
        <v>0</v>
      </c>
      <c r="AF361" s="33">
        <f>G361*(1-0.0115654118919148)</f>
        <v>0</v>
      </c>
      <c r="AM361" s="33">
        <f>F361*AE361</f>
        <v>0</v>
      </c>
      <c r="AN361" s="33">
        <f>F361*AF361</f>
        <v>0</v>
      </c>
      <c r="AO361" s="34" t="s">
        <v>852</v>
      </c>
      <c r="AP361" s="34" t="s">
        <v>865</v>
      </c>
      <c r="AQ361" s="26" t="s">
        <v>866</v>
      </c>
    </row>
    <row r="362" spans="1:43" ht="12.75">
      <c r="A362" s="4" t="s">
        <v>182</v>
      </c>
      <c r="B362" s="4" t="s">
        <v>200</v>
      </c>
      <c r="C362" s="4" t="s">
        <v>385</v>
      </c>
      <c r="D362" s="4" t="s">
        <v>748</v>
      </c>
      <c r="E362" s="4" t="s">
        <v>781</v>
      </c>
      <c r="F362" s="17">
        <v>2</v>
      </c>
      <c r="G362" s="17"/>
      <c r="H362" s="17">
        <f>F362*AE362</f>
        <v>0</v>
      </c>
      <c r="I362" s="17">
        <f>J362-H362</f>
        <v>0</v>
      </c>
      <c r="J362" s="17">
        <f>F362*G362</f>
        <v>0</v>
      </c>
      <c r="K362" s="17">
        <v>0.9842</v>
      </c>
      <c r="L362" s="17">
        <f>F362*K362</f>
        <v>1.9684</v>
      </c>
      <c r="M362" s="29" t="s">
        <v>804</v>
      </c>
      <c r="N362" s="29" t="s">
        <v>8</v>
      </c>
      <c r="O362" s="17">
        <f>IF(N362="5",I362,0)</f>
        <v>0</v>
      </c>
      <c r="Z362" s="17">
        <f>IF(AD362=0,J362,0)</f>
        <v>0</v>
      </c>
      <c r="AA362" s="17">
        <f>IF(AD362=15,J362,0)</f>
        <v>0</v>
      </c>
      <c r="AB362" s="17">
        <f>IF(AD362=21,J362,0)</f>
        <v>0</v>
      </c>
      <c r="AD362" s="33">
        <v>21</v>
      </c>
      <c r="AE362" s="33">
        <f>G362*0.235898342541436</f>
        <v>0</v>
      </c>
      <c r="AF362" s="33">
        <f>G362*(1-0.235898342541436)</f>
        <v>0</v>
      </c>
      <c r="AM362" s="33">
        <f>F362*AE362</f>
        <v>0</v>
      </c>
      <c r="AN362" s="33">
        <f>F362*AF362</f>
        <v>0</v>
      </c>
      <c r="AO362" s="34" t="s">
        <v>852</v>
      </c>
      <c r="AP362" s="34" t="s">
        <v>865</v>
      </c>
      <c r="AQ362" s="26" t="s">
        <v>866</v>
      </c>
    </row>
    <row r="363" spans="1:43" ht="12.75">
      <c r="A363" s="5" t="s">
        <v>183</v>
      </c>
      <c r="B363" s="5" t="s">
        <v>200</v>
      </c>
      <c r="C363" s="5" t="s">
        <v>386</v>
      </c>
      <c r="D363" s="5" t="s">
        <v>749</v>
      </c>
      <c r="E363" s="5" t="s">
        <v>781</v>
      </c>
      <c r="F363" s="19">
        <v>2</v>
      </c>
      <c r="G363" s="19"/>
      <c r="H363" s="19">
        <f>F363*AE363</f>
        <v>0</v>
      </c>
      <c r="I363" s="19">
        <f>J363-H363</f>
        <v>0</v>
      </c>
      <c r="J363" s="19">
        <f>F363*G363</f>
        <v>0</v>
      </c>
      <c r="K363" s="19">
        <v>0.011</v>
      </c>
      <c r="L363" s="19">
        <f>F363*K363</f>
        <v>0.022</v>
      </c>
      <c r="M363" s="30" t="s">
        <v>804</v>
      </c>
      <c r="N363" s="30" t="s">
        <v>805</v>
      </c>
      <c r="O363" s="19">
        <f>IF(N363="5",I363,0)</f>
        <v>0</v>
      </c>
      <c r="Z363" s="19">
        <f>IF(AD363=0,J363,0)</f>
        <v>0</v>
      </c>
      <c r="AA363" s="19">
        <f>IF(AD363=15,J363,0)</f>
        <v>0</v>
      </c>
      <c r="AB363" s="19">
        <f>IF(AD363=21,J363,0)</f>
        <v>0</v>
      </c>
      <c r="AD363" s="33">
        <v>21</v>
      </c>
      <c r="AE363" s="33">
        <f>G363*1</f>
        <v>0</v>
      </c>
      <c r="AF363" s="33">
        <f>G363*(1-1)</f>
        <v>0</v>
      </c>
      <c r="AM363" s="33">
        <f>F363*AE363</f>
        <v>0</v>
      </c>
      <c r="AN363" s="33">
        <f>F363*AF363</f>
        <v>0</v>
      </c>
      <c r="AO363" s="34" t="s">
        <v>852</v>
      </c>
      <c r="AP363" s="34" t="s">
        <v>865</v>
      </c>
      <c r="AQ363" s="26" t="s">
        <v>866</v>
      </c>
    </row>
    <row r="364" spans="1:43" ht="12.75">
      <c r="A364" s="5" t="s">
        <v>184</v>
      </c>
      <c r="B364" s="5" t="s">
        <v>200</v>
      </c>
      <c r="C364" s="5" t="s">
        <v>387</v>
      </c>
      <c r="D364" s="5" t="s">
        <v>750</v>
      </c>
      <c r="E364" s="5" t="s">
        <v>781</v>
      </c>
      <c r="F364" s="19">
        <v>1</v>
      </c>
      <c r="G364" s="19"/>
      <c r="H364" s="19">
        <f>F364*AE364</f>
        <v>0</v>
      </c>
      <c r="I364" s="19">
        <f>J364-H364</f>
        <v>0</v>
      </c>
      <c r="J364" s="19">
        <f>F364*G364</f>
        <v>0</v>
      </c>
      <c r="K364" s="19">
        <v>0.008</v>
      </c>
      <c r="L364" s="19">
        <f>F364*K364</f>
        <v>0.008</v>
      </c>
      <c r="M364" s="30" t="s">
        <v>804</v>
      </c>
      <c r="N364" s="30" t="s">
        <v>805</v>
      </c>
      <c r="O364" s="19">
        <f>IF(N364="5",I364,0)</f>
        <v>0</v>
      </c>
      <c r="Z364" s="19">
        <f>IF(AD364=0,J364,0)</f>
        <v>0</v>
      </c>
      <c r="AA364" s="19">
        <f>IF(AD364=15,J364,0)</f>
        <v>0</v>
      </c>
      <c r="AB364" s="19">
        <f>IF(AD364=21,J364,0)</f>
        <v>0</v>
      </c>
      <c r="AD364" s="33">
        <v>21</v>
      </c>
      <c r="AE364" s="33">
        <f>G364*1</f>
        <v>0</v>
      </c>
      <c r="AF364" s="33">
        <f>G364*(1-1)</f>
        <v>0</v>
      </c>
      <c r="AM364" s="33">
        <f>F364*AE364</f>
        <v>0</v>
      </c>
      <c r="AN364" s="33">
        <f>F364*AF364</f>
        <v>0</v>
      </c>
      <c r="AO364" s="34" t="s">
        <v>852</v>
      </c>
      <c r="AP364" s="34" t="s">
        <v>865</v>
      </c>
      <c r="AQ364" s="26" t="s">
        <v>866</v>
      </c>
    </row>
    <row r="365" spans="1:43" ht="12.75">
      <c r="A365" s="4" t="s">
        <v>185</v>
      </c>
      <c r="B365" s="4" t="s">
        <v>200</v>
      </c>
      <c r="C365" s="4" t="s">
        <v>388</v>
      </c>
      <c r="D365" s="4" t="s">
        <v>751</v>
      </c>
      <c r="E365" s="4" t="s">
        <v>777</v>
      </c>
      <c r="F365" s="17">
        <v>28</v>
      </c>
      <c r="G365" s="17"/>
      <c r="H365" s="17">
        <f>F365*AE365</f>
        <v>0</v>
      </c>
      <c r="I365" s="17">
        <f>J365-H365</f>
        <v>0</v>
      </c>
      <c r="J365" s="17">
        <f>F365*G365</f>
        <v>0</v>
      </c>
      <c r="K365" s="17">
        <v>0.42885</v>
      </c>
      <c r="L365" s="17">
        <f>F365*K365</f>
        <v>12.0078</v>
      </c>
      <c r="M365" s="29" t="s">
        <v>804</v>
      </c>
      <c r="N365" s="29" t="s">
        <v>9</v>
      </c>
      <c r="O365" s="17">
        <f>IF(N365="5",I365,0)</f>
        <v>0</v>
      </c>
      <c r="Z365" s="17">
        <f>IF(AD365=0,J365,0)</f>
        <v>0</v>
      </c>
      <c r="AA365" s="17">
        <f>IF(AD365=15,J365,0)</f>
        <v>0</v>
      </c>
      <c r="AB365" s="17">
        <f>IF(AD365=21,J365,0)</f>
        <v>0</v>
      </c>
      <c r="AD365" s="33">
        <v>21</v>
      </c>
      <c r="AE365" s="33">
        <f>G365*0.336077777777778</f>
        <v>0</v>
      </c>
      <c r="AF365" s="33">
        <f>G365*(1-0.336077777777778)</f>
        <v>0</v>
      </c>
      <c r="AM365" s="33">
        <f>F365*AE365</f>
        <v>0</v>
      </c>
      <c r="AN365" s="33">
        <f>F365*AF365</f>
        <v>0</v>
      </c>
      <c r="AO365" s="34" t="s">
        <v>852</v>
      </c>
      <c r="AP365" s="34" t="s">
        <v>865</v>
      </c>
      <c r="AQ365" s="26" t="s">
        <v>866</v>
      </c>
    </row>
    <row r="366" spans="4:6" ht="12.75">
      <c r="D366" s="13" t="s">
        <v>752</v>
      </c>
      <c r="F366" s="18">
        <v>0</v>
      </c>
    </row>
    <row r="367" spans="1:43" ht="12.75">
      <c r="A367" s="5" t="s">
        <v>186</v>
      </c>
      <c r="B367" s="5" t="s">
        <v>200</v>
      </c>
      <c r="C367" s="5" t="s">
        <v>389</v>
      </c>
      <c r="D367" s="5" t="s">
        <v>753</v>
      </c>
      <c r="E367" s="5" t="s">
        <v>781</v>
      </c>
      <c r="F367" s="19">
        <v>1</v>
      </c>
      <c r="G367" s="19"/>
      <c r="H367" s="19">
        <f>F367*AE367</f>
        <v>0</v>
      </c>
      <c r="I367" s="19">
        <f>J367-H367</f>
        <v>0</v>
      </c>
      <c r="J367" s="19">
        <f>F367*G367</f>
        <v>0</v>
      </c>
      <c r="K367" s="19">
        <v>0.008</v>
      </c>
      <c r="L367" s="19">
        <f>F367*K367</f>
        <v>0.008</v>
      </c>
      <c r="M367" s="30"/>
      <c r="N367" s="30" t="s">
        <v>805</v>
      </c>
      <c r="O367" s="19">
        <f>IF(N367="5",I367,0)</f>
        <v>0</v>
      </c>
      <c r="Z367" s="19">
        <f>IF(AD367=0,J367,0)</f>
        <v>0</v>
      </c>
      <c r="AA367" s="19">
        <f>IF(AD367=15,J367,0)</f>
        <v>0</v>
      </c>
      <c r="AB367" s="19">
        <f>IF(AD367=21,J367,0)</f>
        <v>0</v>
      </c>
      <c r="AD367" s="33">
        <v>21</v>
      </c>
      <c r="AE367" s="33">
        <f>G367*1</f>
        <v>0</v>
      </c>
      <c r="AF367" s="33">
        <f>G367*(1-1)</f>
        <v>0</v>
      </c>
      <c r="AM367" s="33">
        <f>F367*AE367</f>
        <v>0</v>
      </c>
      <c r="AN367" s="33">
        <f>F367*AF367</f>
        <v>0</v>
      </c>
      <c r="AO367" s="34" t="s">
        <v>852</v>
      </c>
      <c r="AP367" s="34" t="s">
        <v>865</v>
      </c>
      <c r="AQ367" s="26" t="s">
        <v>866</v>
      </c>
    </row>
    <row r="368" spans="1:43" ht="12.75">
      <c r="A368" s="5" t="s">
        <v>187</v>
      </c>
      <c r="B368" s="5" t="s">
        <v>200</v>
      </c>
      <c r="C368" s="5" t="s">
        <v>390</v>
      </c>
      <c r="D368" s="5" t="s">
        <v>754</v>
      </c>
      <c r="E368" s="5" t="s">
        <v>784</v>
      </c>
      <c r="F368" s="19">
        <v>2</v>
      </c>
      <c r="G368" s="19"/>
      <c r="H368" s="19">
        <f>F368*AE368</f>
        <v>0</v>
      </c>
      <c r="I368" s="19">
        <f>J368-H368</f>
        <v>0</v>
      </c>
      <c r="J368" s="19">
        <f>F368*G368</f>
        <v>0</v>
      </c>
      <c r="K368" s="19">
        <v>0</v>
      </c>
      <c r="L368" s="19">
        <f>F368*K368</f>
        <v>0</v>
      </c>
      <c r="M368" s="30" t="s">
        <v>804</v>
      </c>
      <c r="N368" s="30" t="s">
        <v>805</v>
      </c>
      <c r="O368" s="19">
        <f>IF(N368="5",I368,0)</f>
        <v>0</v>
      </c>
      <c r="Z368" s="19">
        <f>IF(AD368=0,J368,0)</f>
        <v>0</v>
      </c>
      <c r="AA368" s="19">
        <f>IF(AD368=15,J368,0)</f>
        <v>0</v>
      </c>
      <c r="AB368" s="19">
        <f>IF(AD368=21,J368,0)</f>
        <v>0</v>
      </c>
      <c r="AD368" s="33">
        <v>21</v>
      </c>
      <c r="AE368" s="33">
        <f>G368*1</f>
        <v>0</v>
      </c>
      <c r="AF368" s="33">
        <f>G368*(1-1)</f>
        <v>0</v>
      </c>
      <c r="AM368" s="33">
        <f>F368*AE368</f>
        <v>0</v>
      </c>
      <c r="AN368" s="33">
        <f>F368*AF368</f>
        <v>0</v>
      </c>
      <c r="AO368" s="34" t="s">
        <v>852</v>
      </c>
      <c r="AP368" s="34" t="s">
        <v>865</v>
      </c>
      <c r="AQ368" s="26" t="s">
        <v>866</v>
      </c>
    </row>
    <row r="369" spans="1:37" ht="12.75">
      <c r="A369" s="3"/>
      <c r="B369" s="11" t="s">
        <v>200</v>
      </c>
      <c r="C369" s="11" t="s">
        <v>391</v>
      </c>
      <c r="D369" s="79" t="s">
        <v>755</v>
      </c>
      <c r="E369" s="80"/>
      <c r="F369" s="80"/>
      <c r="G369" s="80"/>
      <c r="H369" s="35">
        <f>SUM(H370:H373)</f>
        <v>0</v>
      </c>
      <c r="I369" s="35">
        <f>SUM(I370:I373)</f>
        <v>0</v>
      </c>
      <c r="J369" s="35">
        <f>H369+I369</f>
        <v>0</v>
      </c>
      <c r="K369" s="26"/>
      <c r="L369" s="35">
        <f>SUM(L370:L373)</f>
        <v>1.0988</v>
      </c>
      <c r="M369" s="26"/>
      <c r="P369" s="35">
        <f>IF(Q369="PR",J369,SUM(O370:O373))</f>
        <v>0</v>
      </c>
      <c r="Q369" s="26" t="s">
        <v>810</v>
      </c>
      <c r="R369" s="35">
        <f>IF(Q369="HS",H369,0)</f>
        <v>0</v>
      </c>
      <c r="S369" s="35">
        <f>IF(Q369="HS",I369-P369,0)</f>
        <v>0</v>
      </c>
      <c r="T369" s="35">
        <f>IF(Q369="PS",H369,0)</f>
        <v>0</v>
      </c>
      <c r="U369" s="35">
        <f>IF(Q369="PS",I369-P369,0)</f>
        <v>0</v>
      </c>
      <c r="V369" s="35">
        <f>IF(Q369="MP",H369,0)</f>
        <v>0</v>
      </c>
      <c r="W369" s="35">
        <f>IF(Q369="MP",I369-P369,0)</f>
        <v>0</v>
      </c>
      <c r="X369" s="35">
        <f>IF(Q369="OM",H369,0)</f>
        <v>0</v>
      </c>
      <c r="Y369" s="26" t="s">
        <v>200</v>
      </c>
      <c r="AI369" s="35">
        <f>SUM(Z370:Z373)</f>
        <v>0</v>
      </c>
      <c r="AJ369" s="35">
        <f>SUM(AA370:AA373)</f>
        <v>0</v>
      </c>
      <c r="AK369" s="35">
        <f>SUM(AB370:AB373)</f>
        <v>0</v>
      </c>
    </row>
    <row r="370" spans="1:43" ht="12.75">
      <c r="A370" s="4" t="s">
        <v>188</v>
      </c>
      <c r="B370" s="4" t="s">
        <v>200</v>
      </c>
      <c r="C370" s="4" t="s">
        <v>392</v>
      </c>
      <c r="D370" s="4" t="s">
        <v>756</v>
      </c>
      <c r="E370" s="4" t="s">
        <v>777</v>
      </c>
      <c r="F370" s="17">
        <v>13</v>
      </c>
      <c r="G370" s="17"/>
      <c r="H370" s="17">
        <f>F370*AE370</f>
        <v>0</v>
      </c>
      <c r="I370" s="17">
        <f>J370-H370</f>
        <v>0</v>
      </c>
      <c r="J370" s="17">
        <f>F370*G370</f>
        <v>0</v>
      </c>
      <c r="K370" s="17">
        <v>0.03722</v>
      </c>
      <c r="L370" s="17">
        <f>F370*K370</f>
        <v>0.48386000000000007</v>
      </c>
      <c r="M370" s="29" t="s">
        <v>804</v>
      </c>
      <c r="N370" s="29" t="s">
        <v>8</v>
      </c>
      <c r="O370" s="17">
        <f>IF(N370="5",I370,0)</f>
        <v>0</v>
      </c>
      <c r="Z370" s="17">
        <f>IF(AD370=0,J370,0)</f>
        <v>0</v>
      </c>
      <c r="AA370" s="17">
        <f>IF(AD370=15,J370,0)</f>
        <v>0</v>
      </c>
      <c r="AB370" s="17">
        <f>IF(AD370=21,J370,0)</f>
        <v>0</v>
      </c>
      <c r="AD370" s="33">
        <v>21</v>
      </c>
      <c r="AE370" s="33">
        <f>G370*0.446370947580568</f>
        <v>0</v>
      </c>
      <c r="AF370" s="33">
        <f>G370*(1-0.446370947580568)</f>
        <v>0</v>
      </c>
      <c r="AM370" s="33">
        <f>F370*AE370</f>
        <v>0</v>
      </c>
      <c r="AN370" s="33">
        <f>F370*AF370</f>
        <v>0</v>
      </c>
      <c r="AO370" s="34" t="s">
        <v>853</v>
      </c>
      <c r="AP370" s="34" t="s">
        <v>865</v>
      </c>
      <c r="AQ370" s="26" t="s">
        <v>866</v>
      </c>
    </row>
    <row r="371" spans="1:43" ht="12.75">
      <c r="A371" s="5" t="s">
        <v>189</v>
      </c>
      <c r="B371" s="5" t="s">
        <v>200</v>
      </c>
      <c r="C371" s="5" t="s">
        <v>393</v>
      </c>
      <c r="D371" s="5" t="s">
        <v>757</v>
      </c>
      <c r="E371" s="5" t="s">
        <v>781</v>
      </c>
      <c r="F371" s="19">
        <v>9</v>
      </c>
      <c r="G371" s="19"/>
      <c r="H371" s="19">
        <f>F371*AE371</f>
        <v>0</v>
      </c>
      <c r="I371" s="19">
        <f>J371-H371</f>
        <v>0</v>
      </c>
      <c r="J371" s="19">
        <f>F371*G371</f>
        <v>0</v>
      </c>
      <c r="K371" s="19">
        <v>0.00395</v>
      </c>
      <c r="L371" s="19">
        <f>F371*K371</f>
        <v>0.035550000000000005</v>
      </c>
      <c r="M371" s="30" t="s">
        <v>804</v>
      </c>
      <c r="N371" s="30" t="s">
        <v>805</v>
      </c>
      <c r="O371" s="19">
        <f>IF(N371="5",I371,0)</f>
        <v>0</v>
      </c>
      <c r="Z371" s="19">
        <f>IF(AD371=0,J371,0)</f>
        <v>0</v>
      </c>
      <c r="AA371" s="19">
        <f>IF(AD371=15,J371,0)</f>
        <v>0</v>
      </c>
      <c r="AB371" s="19">
        <f>IF(AD371=21,J371,0)</f>
        <v>0</v>
      </c>
      <c r="AD371" s="33">
        <v>21</v>
      </c>
      <c r="AE371" s="33">
        <f>G371*1</f>
        <v>0</v>
      </c>
      <c r="AF371" s="33">
        <f>G371*(1-1)</f>
        <v>0</v>
      </c>
      <c r="AM371" s="33">
        <f>F371*AE371</f>
        <v>0</v>
      </c>
      <c r="AN371" s="33">
        <f>F371*AF371</f>
        <v>0</v>
      </c>
      <c r="AO371" s="34" t="s">
        <v>853</v>
      </c>
      <c r="AP371" s="34" t="s">
        <v>865</v>
      </c>
      <c r="AQ371" s="26" t="s">
        <v>866</v>
      </c>
    </row>
    <row r="372" spans="1:43" ht="12.75">
      <c r="A372" s="5" t="s">
        <v>190</v>
      </c>
      <c r="B372" s="5" t="s">
        <v>200</v>
      </c>
      <c r="C372" s="5" t="s">
        <v>394</v>
      </c>
      <c r="D372" s="5" t="s">
        <v>758</v>
      </c>
      <c r="E372" s="5" t="s">
        <v>781</v>
      </c>
      <c r="F372" s="19">
        <v>2</v>
      </c>
      <c r="G372" s="19"/>
      <c r="H372" s="19">
        <f>F372*AE372</f>
        <v>0</v>
      </c>
      <c r="I372" s="19">
        <f>J372-H372</f>
        <v>0</v>
      </c>
      <c r="J372" s="19">
        <f>F372*G372</f>
        <v>0</v>
      </c>
      <c r="K372" s="19">
        <v>0.002</v>
      </c>
      <c r="L372" s="19">
        <f>F372*K372</f>
        <v>0.004</v>
      </c>
      <c r="M372" s="30" t="s">
        <v>804</v>
      </c>
      <c r="N372" s="30" t="s">
        <v>805</v>
      </c>
      <c r="O372" s="19">
        <f>IF(N372="5",I372,0)</f>
        <v>0</v>
      </c>
      <c r="Z372" s="19">
        <f>IF(AD372=0,J372,0)</f>
        <v>0</v>
      </c>
      <c r="AA372" s="19">
        <f>IF(AD372=15,J372,0)</f>
        <v>0</v>
      </c>
      <c r="AB372" s="19">
        <f>IF(AD372=21,J372,0)</f>
        <v>0</v>
      </c>
      <c r="AD372" s="33">
        <v>21</v>
      </c>
      <c r="AE372" s="33">
        <f>G372*1</f>
        <v>0</v>
      </c>
      <c r="AF372" s="33">
        <f>G372*(1-1)</f>
        <v>0</v>
      </c>
      <c r="AM372" s="33">
        <f>F372*AE372</f>
        <v>0</v>
      </c>
      <c r="AN372" s="33">
        <f>F372*AF372</f>
        <v>0</v>
      </c>
      <c r="AO372" s="34" t="s">
        <v>853</v>
      </c>
      <c r="AP372" s="34" t="s">
        <v>865</v>
      </c>
      <c r="AQ372" s="26" t="s">
        <v>866</v>
      </c>
    </row>
    <row r="373" spans="1:43" ht="12.75">
      <c r="A373" s="4" t="s">
        <v>191</v>
      </c>
      <c r="B373" s="4" t="s">
        <v>200</v>
      </c>
      <c r="C373" s="4" t="s">
        <v>395</v>
      </c>
      <c r="D373" s="4" t="s">
        <v>759</v>
      </c>
      <c r="E373" s="4" t="s">
        <v>778</v>
      </c>
      <c r="F373" s="17">
        <v>1.63</v>
      </c>
      <c r="G373" s="17"/>
      <c r="H373" s="17">
        <f>F373*AE373</f>
        <v>0</v>
      </c>
      <c r="I373" s="17">
        <f>J373-H373</f>
        <v>0</v>
      </c>
      <c r="J373" s="17">
        <f>F373*G373</f>
        <v>0</v>
      </c>
      <c r="K373" s="17">
        <v>0.353</v>
      </c>
      <c r="L373" s="17">
        <f>F373*K373</f>
        <v>0.57539</v>
      </c>
      <c r="M373" s="29" t="s">
        <v>804</v>
      </c>
      <c r="N373" s="29" t="s">
        <v>7</v>
      </c>
      <c r="O373" s="17">
        <f>IF(N373="5",I373,0)</f>
        <v>0</v>
      </c>
      <c r="Z373" s="17">
        <f>IF(AD373=0,J373,0)</f>
        <v>0</v>
      </c>
      <c r="AA373" s="17">
        <f>IF(AD373=15,J373,0)</f>
        <v>0</v>
      </c>
      <c r="AB373" s="17">
        <f>IF(AD373=21,J373,0)</f>
        <v>0</v>
      </c>
      <c r="AD373" s="33">
        <v>21</v>
      </c>
      <c r="AE373" s="33">
        <f>G373*0.57882382892057</f>
        <v>0</v>
      </c>
      <c r="AF373" s="33">
        <f>G373*(1-0.57882382892057)</f>
        <v>0</v>
      </c>
      <c r="AM373" s="33">
        <f>F373*AE373</f>
        <v>0</v>
      </c>
      <c r="AN373" s="33">
        <f>F373*AF373</f>
        <v>0</v>
      </c>
      <c r="AO373" s="34" t="s">
        <v>853</v>
      </c>
      <c r="AP373" s="34" t="s">
        <v>865</v>
      </c>
      <c r="AQ373" s="26" t="s">
        <v>866</v>
      </c>
    </row>
    <row r="374" spans="4:6" ht="12.75">
      <c r="D374" s="13" t="s">
        <v>760</v>
      </c>
      <c r="F374" s="18">
        <v>1.63</v>
      </c>
    </row>
    <row r="375" spans="1:37" ht="12.75">
      <c r="A375" s="3"/>
      <c r="B375" s="11" t="s">
        <v>200</v>
      </c>
      <c r="C375" s="11" t="s">
        <v>396</v>
      </c>
      <c r="D375" s="79" t="s">
        <v>761</v>
      </c>
      <c r="E375" s="80"/>
      <c r="F375" s="80"/>
      <c r="G375" s="80"/>
      <c r="H375" s="35">
        <f>SUM(H376:H381)</f>
        <v>0</v>
      </c>
      <c r="I375" s="35">
        <f>SUM(I376:I381)</f>
        <v>0</v>
      </c>
      <c r="J375" s="35">
        <f>H375+I375</f>
        <v>0</v>
      </c>
      <c r="K375" s="26"/>
      <c r="L375" s="35">
        <f>SUM(L376:L381)</f>
        <v>5.8414019999999995</v>
      </c>
      <c r="M375" s="26"/>
      <c r="P375" s="35">
        <f>IF(Q375="PR",J375,SUM(O376:O381))</f>
        <v>0</v>
      </c>
      <c r="Q375" s="26" t="s">
        <v>810</v>
      </c>
      <c r="R375" s="35">
        <f>IF(Q375="HS",H375,0)</f>
        <v>0</v>
      </c>
      <c r="S375" s="35">
        <f>IF(Q375="HS",I375-P375,0)</f>
        <v>0</v>
      </c>
      <c r="T375" s="35">
        <f>IF(Q375="PS",H375,0)</f>
        <v>0</v>
      </c>
      <c r="U375" s="35">
        <f>IF(Q375="PS",I375-P375,0)</f>
        <v>0</v>
      </c>
      <c r="V375" s="35">
        <f>IF(Q375="MP",H375,0)</f>
        <v>0</v>
      </c>
      <c r="W375" s="35">
        <f>IF(Q375="MP",I375-P375,0)</f>
        <v>0</v>
      </c>
      <c r="X375" s="35">
        <f>IF(Q375="OM",H375,0)</f>
        <v>0</v>
      </c>
      <c r="Y375" s="26" t="s">
        <v>200</v>
      </c>
      <c r="AI375" s="35">
        <f>SUM(Z376:Z381)</f>
        <v>0</v>
      </c>
      <c r="AJ375" s="35">
        <f>SUM(AA376:AA381)</f>
        <v>0</v>
      </c>
      <c r="AK375" s="35">
        <f>SUM(AB376:AB381)</f>
        <v>0</v>
      </c>
    </row>
    <row r="376" spans="1:43" ht="12.75">
      <c r="A376" s="4" t="s">
        <v>192</v>
      </c>
      <c r="B376" s="4" t="s">
        <v>200</v>
      </c>
      <c r="C376" s="4" t="s">
        <v>397</v>
      </c>
      <c r="D376" s="4" t="s">
        <v>762</v>
      </c>
      <c r="E376" s="4" t="s">
        <v>777</v>
      </c>
      <c r="F376" s="17">
        <v>44</v>
      </c>
      <c r="G376" s="17"/>
      <c r="H376" s="17">
        <f aca="true" t="shared" si="74" ref="H376:H381">F376*AE376</f>
        <v>0</v>
      </c>
      <c r="I376" s="17">
        <f aca="true" t="shared" si="75" ref="I376:I381">J376-H376</f>
        <v>0</v>
      </c>
      <c r="J376" s="17">
        <f aca="true" t="shared" si="76" ref="J376:J381">F376*G376</f>
        <v>0</v>
      </c>
      <c r="K376" s="17">
        <v>0</v>
      </c>
      <c r="L376" s="17">
        <f aca="true" t="shared" si="77" ref="L376:L381">F376*K376</f>
        <v>0</v>
      </c>
      <c r="M376" s="29" t="s">
        <v>804</v>
      </c>
      <c r="N376" s="29" t="s">
        <v>8</v>
      </c>
      <c r="O376" s="17">
        <f aca="true" t="shared" si="78" ref="O376:O381">IF(N376="5",I376,0)</f>
        <v>0</v>
      </c>
      <c r="Z376" s="17">
        <f aca="true" t="shared" si="79" ref="Z376:Z381">IF(AD376=0,J376,0)</f>
        <v>0</v>
      </c>
      <c r="AA376" s="17">
        <f aca="true" t="shared" si="80" ref="AA376:AA381">IF(AD376=15,J376,0)</f>
        <v>0</v>
      </c>
      <c r="AB376" s="17">
        <f aca="true" t="shared" si="81" ref="AB376:AB381">IF(AD376=21,J376,0)</f>
        <v>0</v>
      </c>
      <c r="AD376" s="33">
        <v>21</v>
      </c>
      <c r="AE376" s="33">
        <f>G376*0</f>
        <v>0</v>
      </c>
      <c r="AF376" s="33">
        <f>G376*(1-0)</f>
        <v>0</v>
      </c>
      <c r="AM376" s="33">
        <f aca="true" t="shared" si="82" ref="AM376:AM381">F376*AE376</f>
        <v>0</v>
      </c>
      <c r="AN376" s="33">
        <f aca="true" t="shared" si="83" ref="AN376:AN381">F376*AF376</f>
        <v>0</v>
      </c>
      <c r="AO376" s="34" t="s">
        <v>854</v>
      </c>
      <c r="AP376" s="34" t="s">
        <v>865</v>
      </c>
      <c r="AQ376" s="26" t="s">
        <v>866</v>
      </c>
    </row>
    <row r="377" spans="1:43" ht="12.75">
      <c r="A377" s="4" t="s">
        <v>193</v>
      </c>
      <c r="B377" s="4" t="s">
        <v>200</v>
      </c>
      <c r="C377" s="4" t="s">
        <v>398</v>
      </c>
      <c r="D377" s="4" t="s">
        <v>763</v>
      </c>
      <c r="E377" s="4" t="s">
        <v>777</v>
      </c>
      <c r="F377" s="17">
        <v>44</v>
      </c>
      <c r="G377" s="17"/>
      <c r="H377" s="17">
        <f t="shared" si="74"/>
        <v>0</v>
      </c>
      <c r="I377" s="17">
        <f t="shared" si="75"/>
        <v>0</v>
      </c>
      <c r="J377" s="17">
        <f t="shared" si="76"/>
        <v>0</v>
      </c>
      <c r="K377" s="17">
        <v>0</v>
      </c>
      <c r="L377" s="17">
        <f t="shared" si="77"/>
        <v>0</v>
      </c>
      <c r="M377" s="29" t="s">
        <v>804</v>
      </c>
      <c r="N377" s="29" t="s">
        <v>8</v>
      </c>
      <c r="O377" s="17">
        <f t="shared" si="78"/>
        <v>0</v>
      </c>
      <c r="Z377" s="17">
        <f t="shared" si="79"/>
        <v>0</v>
      </c>
      <c r="AA377" s="17">
        <f t="shared" si="80"/>
        <v>0</v>
      </c>
      <c r="AB377" s="17">
        <f t="shared" si="81"/>
        <v>0</v>
      </c>
      <c r="AD377" s="33">
        <v>21</v>
      </c>
      <c r="AE377" s="33">
        <f>G377*0</f>
        <v>0</v>
      </c>
      <c r="AF377" s="33">
        <f>G377*(1-0)</f>
        <v>0</v>
      </c>
      <c r="AM377" s="33">
        <f t="shared" si="82"/>
        <v>0</v>
      </c>
      <c r="AN377" s="33">
        <f t="shared" si="83"/>
        <v>0</v>
      </c>
      <c r="AO377" s="34" t="s">
        <v>854</v>
      </c>
      <c r="AP377" s="34" t="s">
        <v>865</v>
      </c>
      <c r="AQ377" s="26" t="s">
        <v>866</v>
      </c>
    </row>
    <row r="378" spans="1:43" ht="12.75">
      <c r="A378" s="4" t="s">
        <v>194</v>
      </c>
      <c r="B378" s="4" t="s">
        <v>200</v>
      </c>
      <c r="C378" s="4" t="s">
        <v>399</v>
      </c>
      <c r="D378" s="4" t="s">
        <v>764</v>
      </c>
      <c r="E378" s="4" t="s">
        <v>777</v>
      </c>
      <c r="F378" s="17">
        <v>44</v>
      </c>
      <c r="G378" s="17"/>
      <c r="H378" s="17">
        <f t="shared" si="74"/>
        <v>0</v>
      </c>
      <c r="I378" s="17">
        <f t="shared" si="75"/>
        <v>0</v>
      </c>
      <c r="J378" s="17">
        <f t="shared" si="76"/>
        <v>0</v>
      </c>
      <c r="K378" s="17">
        <v>0.13243</v>
      </c>
      <c r="L378" s="17">
        <f t="shared" si="77"/>
        <v>5.826919999999999</v>
      </c>
      <c r="M378" s="29" t="s">
        <v>804</v>
      </c>
      <c r="N378" s="29" t="s">
        <v>8</v>
      </c>
      <c r="O378" s="17">
        <f t="shared" si="78"/>
        <v>0</v>
      </c>
      <c r="Z378" s="17">
        <f t="shared" si="79"/>
        <v>0</v>
      </c>
      <c r="AA378" s="17">
        <f t="shared" si="80"/>
        <v>0</v>
      </c>
      <c r="AB378" s="17">
        <f t="shared" si="81"/>
        <v>0</v>
      </c>
      <c r="AD378" s="33">
        <v>21</v>
      </c>
      <c r="AE378" s="33">
        <f>G378*0.696954893339847</f>
        <v>0</v>
      </c>
      <c r="AF378" s="33">
        <f>G378*(1-0.696954893339847)</f>
        <v>0</v>
      </c>
      <c r="AM378" s="33">
        <f t="shared" si="82"/>
        <v>0</v>
      </c>
      <c r="AN378" s="33">
        <f t="shared" si="83"/>
        <v>0</v>
      </c>
      <c r="AO378" s="34" t="s">
        <v>854</v>
      </c>
      <c r="AP378" s="34" t="s">
        <v>865</v>
      </c>
      <c r="AQ378" s="26" t="s">
        <v>866</v>
      </c>
    </row>
    <row r="379" spans="1:43" ht="12.75">
      <c r="A379" s="4" t="s">
        <v>195</v>
      </c>
      <c r="B379" s="4" t="s">
        <v>200</v>
      </c>
      <c r="C379" s="4" t="s">
        <v>400</v>
      </c>
      <c r="D379" s="4" t="s">
        <v>765</v>
      </c>
      <c r="E379" s="4" t="s">
        <v>777</v>
      </c>
      <c r="F379" s="17">
        <v>44</v>
      </c>
      <c r="G379" s="17"/>
      <c r="H379" s="17">
        <f t="shared" si="74"/>
        <v>0</v>
      </c>
      <c r="I379" s="17">
        <f t="shared" si="75"/>
        <v>0</v>
      </c>
      <c r="J379" s="17">
        <f t="shared" si="76"/>
        <v>0</v>
      </c>
      <c r="K379" s="17">
        <v>6E-05</v>
      </c>
      <c r="L379" s="17">
        <f t="shared" si="77"/>
        <v>0.00264</v>
      </c>
      <c r="M379" s="29" t="s">
        <v>804</v>
      </c>
      <c r="N379" s="29" t="s">
        <v>8</v>
      </c>
      <c r="O379" s="17">
        <f t="shared" si="78"/>
        <v>0</v>
      </c>
      <c r="Z379" s="17">
        <f t="shared" si="79"/>
        <v>0</v>
      </c>
      <c r="AA379" s="17">
        <f t="shared" si="80"/>
        <v>0</v>
      </c>
      <c r="AB379" s="17">
        <f t="shared" si="81"/>
        <v>0</v>
      </c>
      <c r="AD379" s="33">
        <v>21</v>
      </c>
      <c r="AE379" s="33">
        <f>G379*0.395252837977296</f>
        <v>0</v>
      </c>
      <c r="AF379" s="33">
        <f>G379*(1-0.395252837977296)</f>
        <v>0</v>
      </c>
      <c r="AM379" s="33">
        <f t="shared" si="82"/>
        <v>0</v>
      </c>
      <c r="AN379" s="33">
        <f t="shared" si="83"/>
        <v>0</v>
      </c>
      <c r="AO379" s="34" t="s">
        <v>854</v>
      </c>
      <c r="AP379" s="34" t="s">
        <v>865</v>
      </c>
      <c r="AQ379" s="26" t="s">
        <v>866</v>
      </c>
    </row>
    <row r="380" spans="1:43" ht="12.75">
      <c r="A380" s="4" t="s">
        <v>196</v>
      </c>
      <c r="B380" s="4" t="s">
        <v>200</v>
      </c>
      <c r="C380" s="4" t="s">
        <v>401</v>
      </c>
      <c r="D380" s="4" t="s">
        <v>766</v>
      </c>
      <c r="E380" s="4" t="s">
        <v>781</v>
      </c>
      <c r="F380" s="17">
        <v>1</v>
      </c>
      <c r="G380" s="17"/>
      <c r="H380" s="17">
        <f t="shared" si="74"/>
        <v>0</v>
      </c>
      <c r="I380" s="17">
        <f t="shared" si="75"/>
        <v>0</v>
      </c>
      <c r="J380" s="17">
        <f t="shared" si="76"/>
        <v>0</v>
      </c>
      <c r="K380" s="17">
        <v>0.005</v>
      </c>
      <c r="L380" s="17">
        <f t="shared" si="77"/>
        <v>0.005</v>
      </c>
      <c r="M380" s="29" t="s">
        <v>804</v>
      </c>
      <c r="N380" s="29" t="s">
        <v>8</v>
      </c>
      <c r="O380" s="17">
        <f t="shared" si="78"/>
        <v>0</v>
      </c>
      <c r="Z380" s="17">
        <f t="shared" si="79"/>
        <v>0</v>
      </c>
      <c r="AA380" s="17">
        <f t="shared" si="80"/>
        <v>0</v>
      </c>
      <c r="AB380" s="17">
        <f t="shared" si="81"/>
        <v>0</v>
      </c>
      <c r="AD380" s="33">
        <v>21</v>
      </c>
      <c r="AE380" s="33">
        <f>G380*0.212710684048264</f>
        <v>0</v>
      </c>
      <c r="AF380" s="33">
        <f>G380*(1-0.212710684048264)</f>
        <v>0</v>
      </c>
      <c r="AM380" s="33">
        <f t="shared" si="82"/>
        <v>0</v>
      </c>
      <c r="AN380" s="33">
        <f t="shared" si="83"/>
        <v>0</v>
      </c>
      <c r="AO380" s="34" t="s">
        <v>854</v>
      </c>
      <c r="AP380" s="34" t="s">
        <v>865</v>
      </c>
      <c r="AQ380" s="26" t="s">
        <v>866</v>
      </c>
    </row>
    <row r="381" spans="1:43" ht="12.75">
      <c r="A381" s="4" t="s">
        <v>197</v>
      </c>
      <c r="B381" s="4" t="s">
        <v>200</v>
      </c>
      <c r="C381" s="4" t="s">
        <v>402</v>
      </c>
      <c r="D381" s="4" t="s">
        <v>767</v>
      </c>
      <c r="E381" s="4" t="s">
        <v>785</v>
      </c>
      <c r="F381" s="17">
        <v>0.2</v>
      </c>
      <c r="G381" s="17"/>
      <c r="H381" s="17">
        <f t="shared" si="74"/>
        <v>0</v>
      </c>
      <c r="I381" s="17">
        <f t="shared" si="75"/>
        <v>0</v>
      </c>
      <c r="J381" s="17">
        <f t="shared" si="76"/>
        <v>0</v>
      </c>
      <c r="K381" s="17">
        <v>0.03421</v>
      </c>
      <c r="L381" s="17">
        <f t="shared" si="77"/>
        <v>0.006842</v>
      </c>
      <c r="M381" s="29" t="s">
        <v>804</v>
      </c>
      <c r="N381" s="29" t="s">
        <v>8</v>
      </c>
      <c r="O381" s="17">
        <f t="shared" si="78"/>
        <v>0</v>
      </c>
      <c r="Z381" s="17">
        <f t="shared" si="79"/>
        <v>0</v>
      </c>
      <c r="AA381" s="17">
        <f t="shared" si="80"/>
        <v>0</v>
      </c>
      <c r="AB381" s="17">
        <f t="shared" si="81"/>
        <v>0</v>
      </c>
      <c r="AD381" s="33">
        <v>21</v>
      </c>
      <c r="AE381" s="33">
        <f>G381*0.297223942208462</f>
        <v>0</v>
      </c>
      <c r="AF381" s="33">
        <f>G381*(1-0.297223942208462)</f>
        <v>0</v>
      </c>
      <c r="AM381" s="33">
        <f t="shared" si="82"/>
        <v>0</v>
      </c>
      <c r="AN381" s="33">
        <f t="shared" si="83"/>
        <v>0</v>
      </c>
      <c r="AO381" s="34" t="s">
        <v>854</v>
      </c>
      <c r="AP381" s="34" t="s">
        <v>865</v>
      </c>
      <c r="AQ381" s="26" t="s">
        <v>866</v>
      </c>
    </row>
    <row r="382" spans="1:13" ht="12.75">
      <c r="A382" s="6"/>
      <c r="B382" s="6"/>
      <c r="C382" s="6"/>
      <c r="D382" s="14" t="s">
        <v>768</v>
      </c>
      <c r="E382" s="6"/>
      <c r="F382" s="20">
        <v>0.2</v>
      </c>
      <c r="G382" s="6"/>
      <c r="H382" s="6"/>
      <c r="I382" s="6"/>
      <c r="J382" s="6"/>
      <c r="K382" s="6"/>
      <c r="L382" s="6"/>
      <c r="M382" s="6"/>
    </row>
    <row r="383" spans="1:28" ht="12.75">
      <c r="A383" s="7"/>
      <c r="B383" s="7"/>
      <c r="C383" s="7"/>
      <c r="D383" s="7"/>
      <c r="E383" s="7"/>
      <c r="F383" s="7"/>
      <c r="G383" s="7"/>
      <c r="H383" s="129" t="s">
        <v>791</v>
      </c>
      <c r="I383" s="89"/>
      <c r="J383" s="36">
        <f>J14+J28+J34+J66+J69+J101+J118+J132+J144+J152+J157+J176+J193+J197+J200+J207+J209+J213+J222+J232+J235+J237+J242+J246+J249+J275+J308+J311+J317+J319+J333+J347+J349+J353+J360+J369+J375</f>
        <v>0</v>
      </c>
      <c r="K383" s="7"/>
      <c r="L383" s="7"/>
      <c r="M383" s="7"/>
      <c r="Z383" s="37">
        <f>SUM(Z14:Z382)</f>
        <v>0</v>
      </c>
      <c r="AA383" s="37">
        <f>SUM(AA14:AA382)</f>
        <v>0</v>
      </c>
      <c r="AB383" s="37">
        <f>SUM(AB14:AB382)</f>
        <v>0</v>
      </c>
    </row>
    <row r="384" ht="11.25" customHeight="1">
      <c r="A384" s="8" t="s">
        <v>198</v>
      </c>
    </row>
    <row r="385" spans="1:13" ht="409.5" customHeight="1" hidden="1">
      <c r="A385" s="95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</row>
  </sheetData>
  <sheetProtection/>
  <mergeCells count="31">
    <mergeCell ref="H383:I383"/>
    <mergeCell ref="A385:M385"/>
    <mergeCell ref="H10:J10"/>
    <mergeCell ref="K10:L10"/>
    <mergeCell ref="D13:G13"/>
    <mergeCell ref="D14:G14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5905511811023623" right="0.3937007874015748" top="0.5905511811023623" bottom="0.7874015748031497" header="0.5118110236220472" footer="0.5118110236220472"/>
  <pageSetup fitToHeight="0" fitToWidth="1" horizontalDpi="600" verticalDpi="600" orientation="landscape" paperSize="9" scale="6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mitura</cp:lastModifiedBy>
  <cp:lastPrinted>2016-04-28T08:59:12Z</cp:lastPrinted>
  <dcterms:modified xsi:type="dcterms:W3CDTF">2016-05-02T14:45:10Z</dcterms:modified>
  <cp:category/>
  <cp:version/>
  <cp:contentType/>
  <cp:contentStatus/>
</cp:coreProperties>
</file>