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9\Desktop\2025 OZVZ\26. Oprava oplocení - ul. Prokopa Holého 400\"/>
    </mc:Choice>
  </mc:AlternateContent>
  <xr:revisionPtr revIDLastSave="0" documentId="8_{BA990335-BB62-445A-9864-2247A41DD465}" xr6:coauthVersionLast="36" xr6:coauthVersionMax="36" xr10:uidLastSave="{00000000-0000-0000-0000-000000000000}"/>
  <bookViews>
    <workbookView xWindow="3048" yWindow="192" windowWidth="23868" windowHeight="15252" activeTab="2" xr2:uid="{00000000-000D-0000-FFFF-FFFF00000000}"/>
  </bookViews>
  <sheets>
    <sheet name="Krycí list rozpočtu" sheetId="1" r:id="rId1"/>
    <sheet name="VORN" sheetId="2" state="hidden" r:id="rId2"/>
    <sheet name="Stavební rozpočet" sheetId="3" r:id="rId3"/>
  </sheets>
  <definedNames>
    <definedName name="vorn_sum">VORN!$I$45</definedName>
  </definedNames>
  <calcPr calcId="191029"/>
</workbook>
</file>

<file path=xl/calcChain.xml><?xml version="1.0" encoding="utf-8"?>
<calcChain xmlns="http://schemas.openxmlformats.org/spreadsheetml/2006/main">
  <c r="BP169" i="3" l="1"/>
  <c r="BJ169" i="3"/>
  <c r="BF169" i="3"/>
  <c r="BD169" i="3"/>
  <c r="AW169" i="3"/>
  <c r="AP169" i="3"/>
  <c r="AX169" i="3" s="1"/>
  <c r="AO169" i="3"/>
  <c r="BH169" i="3" s="1"/>
  <c r="AL169" i="3"/>
  <c r="AK169" i="3"/>
  <c r="AT168" i="3" s="1"/>
  <c r="AJ169" i="3"/>
  <c r="AH169" i="3"/>
  <c r="AG169" i="3"/>
  <c r="AF169" i="3"/>
  <c r="AE169" i="3"/>
  <c r="AD169" i="3"/>
  <c r="AC169" i="3"/>
  <c r="AB169" i="3"/>
  <c r="Z169" i="3"/>
  <c r="J169" i="3"/>
  <c r="I169" i="3"/>
  <c r="I168" i="3" s="1"/>
  <c r="H169" i="3"/>
  <c r="H168" i="3" s="1"/>
  <c r="AU168" i="3"/>
  <c r="AS168" i="3"/>
  <c r="J168" i="3"/>
  <c r="BO166" i="3"/>
  <c r="BJ166" i="3"/>
  <c r="BF166" i="3"/>
  <c r="BD166" i="3"/>
  <c r="AX166" i="3"/>
  <c r="AW166" i="3"/>
  <c r="AV166" i="3" s="1"/>
  <c r="AP166" i="3"/>
  <c r="BI166" i="3" s="1"/>
  <c r="AO166" i="3"/>
  <c r="BH166" i="3" s="1"/>
  <c r="AK166" i="3"/>
  <c r="AJ166" i="3"/>
  <c r="AH166" i="3"/>
  <c r="AG166" i="3"/>
  <c r="AF166" i="3"/>
  <c r="AE166" i="3"/>
  <c r="AD166" i="3"/>
  <c r="AC166" i="3"/>
  <c r="AB166" i="3"/>
  <c r="Z166" i="3"/>
  <c r="J166" i="3"/>
  <c r="AL166" i="3" s="1"/>
  <c r="I166" i="3"/>
  <c r="H166" i="3"/>
  <c r="BO164" i="3"/>
  <c r="BJ164" i="3"/>
  <c r="BF164" i="3"/>
  <c r="BD164" i="3"/>
  <c r="AX164" i="3"/>
  <c r="AP164" i="3"/>
  <c r="BI164" i="3" s="1"/>
  <c r="AO164" i="3"/>
  <c r="AW164" i="3" s="1"/>
  <c r="AK164" i="3"/>
  <c r="AJ164" i="3"/>
  <c r="AS163" i="3" s="1"/>
  <c r="AH164" i="3"/>
  <c r="AG164" i="3"/>
  <c r="AF164" i="3"/>
  <c r="AE164" i="3"/>
  <c r="AD164" i="3"/>
  <c r="AC164" i="3"/>
  <c r="AB164" i="3"/>
  <c r="Z164" i="3"/>
  <c r="J164" i="3"/>
  <c r="AL164" i="3" s="1"/>
  <c r="AU163" i="3" s="1"/>
  <c r="I164" i="3"/>
  <c r="AT163" i="3"/>
  <c r="J163" i="3"/>
  <c r="I163" i="3"/>
  <c r="BN161" i="3"/>
  <c r="BJ161" i="3"/>
  <c r="BF161" i="3"/>
  <c r="BD161" i="3"/>
  <c r="AX161" i="3"/>
  <c r="AP161" i="3"/>
  <c r="BI161" i="3" s="1"/>
  <c r="AO161" i="3"/>
  <c r="AW161" i="3" s="1"/>
  <c r="AK161" i="3"/>
  <c r="AJ161" i="3"/>
  <c r="AH161" i="3"/>
  <c r="AG161" i="3"/>
  <c r="AF161" i="3"/>
  <c r="AE161" i="3"/>
  <c r="AD161" i="3"/>
  <c r="AC161" i="3"/>
  <c r="AB161" i="3"/>
  <c r="Z161" i="3"/>
  <c r="J161" i="3"/>
  <c r="AL161" i="3" s="1"/>
  <c r="I161" i="3"/>
  <c r="BN159" i="3"/>
  <c r="BJ159" i="3"/>
  <c r="BF159" i="3"/>
  <c r="BD159" i="3"/>
  <c r="AP159" i="3"/>
  <c r="AX159" i="3" s="1"/>
  <c r="AO159" i="3"/>
  <c r="BH159" i="3" s="1"/>
  <c r="AL159" i="3"/>
  <c r="AU158" i="3" s="1"/>
  <c r="AK159" i="3"/>
  <c r="AJ159" i="3"/>
  <c r="AH159" i="3"/>
  <c r="AG159" i="3"/>
  <c r="AF159" i="3"/>
  <c r="AE159" i="3"/>
  <c r="AD159" i="3"/>
  <c r="AC159" i="3"/>
  <c r="AB159" i="3"/>
  <c r="Z159" i="3"/>
  <c r="J159" i="3"/>
  <c r="H159" i="3"/>
  <c r="AT158" i="3"/>
  <c r="AS158" i="3"/>
  <c r="J158" i="3"/>
  <c r="BM156" i="3"/>
  <c r="BJ156" i="3"/>
  <c r="BF156" i="3"/>
  <c r="BD156" i="3"/>
  <c r="AP156" i="3"/>
  <c r="AX156" i="3" s="1"/>
  <c r="AO156" i="3"/>
  <c r="BH156" i="3" s="1"/>
  <c r="AL156" i="3"/>
  <c r="AU155" i="3" s="1"/>
  <c r="AK156" i="3"/>
  <c r="AJ156" i="3"/>
  <c r="AH156" i="3"/>
  <c r="AG156" i="3"/>
  <c r="AF156" i="3"/>
  <c r="AE156" i="3"/>
  <c r="AD156" i="3"/>
  <c r="AC156" i="3"/>
  <c r="AB156" i="3"/>
  <c r="Z156" i="3"/>
  <c r="J156" i="3"/>
  <c r="H156" i="3"/>
  <c r="H155" i="3" s="1"/>
  <c r="AT155" i="3"/>
  <c r="AS155" i="3"/>
  <c r="J155" i="3"/>
  <c r="J154" i="3" s="1"/>
  <c r="BJ153" i="3"/>
  <c r="Z153" i="3" s="1"/>
  <c r="BF153" i="3"/>
  <c r="BD153" i="3"/>
  <c r="AP153" i="3"/>
  <c r="BI153" i="3" s="1"/>
  <c r="AO153" i="3"/>
  <c r="BH153" i="3" s="1"/>
  <c r="AK153" i="3"/>
  <c r="AJ153" i="3"/>
  <c r="AH153" i="3"/>
  <c r="AG153" i="3"/>
  <c r="AF153" i="3"/>
  <c r="AE153" i="3"/>
  <c r="AD153" i="3"/>
  <c r="AC153" i="3"/>
  <c r="AB153" i="3"/>
  <c r="J153" i="3"/>
  <c r="AL153" i="3" s="1"/>
  <c r="H153" i="3"/>
  <c r="BJ151" i="3"/>
  <c r="Z151" i="3" s="1"/>
  <c r="BF151" i="3"/>
  <c r="BD151" i="3"/>
  <c r="AW151" i="3"/>
  <c r="AP151" i="3"/>
  <c r="BI151" i="3" s="1"/>
  <c r="AO151" i="3"/>
  <c r="BH151" i="3" s="1"/>
  <c r="AL151" i="3"/>
  <c r="AK151" i="3"/>
  <c r="AJ151" i="3"/>
  <c r="AH151" i="3"/>
  <c r="AG151" i="3"/>
  <c r="AF151" i="3"/>
  <c r="AE151" i="3"/>
  <c r="AD151" i="3"/>
  <c r="AC151" i="3"/>
  <c r="AB151" i="3"/>
  <c r="J151" i="3"/>
  <c r="I151" i="3"/>
  <c r="H151" i="3"/>
  <c r="BJ149" i="3"/>
  <c r="Z149" i="3" s="1"/>
  <c r="BF149" i="3"/>
  <c r="BD149" i="3"/>
  <c r="AX149" i="3"/>
  <c r="AW149" i="3"/>
  <c r="AV149" i="3" s="1"/>
  <c r="AP149" i="3"/>
  <c r="BI149" i="3" s="1"/>
  <c r="AO149" i="3"/>
  <c r="BH149" i="3" s="1"/>
  <c r="AK149" i="3"/>
  <c r="AJ149" i="3"/>
  <c r="AH149" i="3"/>
  <c r="AG149" i="3"/>
  <c r="AF149" i="3"/>
  <c r="AE149" i="3"/>
  <c r="AD149" i="3"/>
  <c r="AC149" i="3"/>
  <c r="AB149" i="3"/>
  <c r="J149" i="3"/>
  <c r="AL149" i="3" s="1"/>
  <c r="I149" i="3"/>
  <c r="H149" i="3"/>
  <c r="BJ147" i="3"/>
  <c r="BF147" i="3"/>
  <c r="BD147" i="3"/>
  <c r="AX147" i="3"/>
  <c r="BC147" i="3" s="1"/>
  <c r="AW147" i="3"/>
  <c r="AV147" i="3" s="1"/>
  <c r="AP147" i="3"/>
  <c r="BI147" i="3" s="1"/>
  <c r="AO147" i="3"/>
  <c r="H147" i="3" s="1"/>
  <c r="AK147" i="3"/>
  <c r="AJ147" i="3"/>
  <c r="AH147" i="3"/>
  <c r="AG147" i="3"/>
  <c r="AF147" i="3"/>
  <c r="AE147" i="3"/>
  <c r="AD147" i="3"/>
  <c r="AC147" i="3"/>
  <c r="AB147" i="3"/>
  <c r="Z147" i="3"/>
  <c r="J147" i="3"/>
  <c r="J145" i="3" s="1"/>
  <c r="I147" i="3"/>
  <c r="BJ146" i="3"/>
  <c r="BF146" i="3"/>
  <c r="BD146" i="3"/>
  <c r="AX146" i="3"/>
  <c r="AP146" i="3"/>
  <c r="I146" i="3" s="1"/>
  <c r="AO146" i="3"/>
  <c r="AW146" i="3" s="1"/>
  <c r="AK146" i="3"/>
  <c r="AJ146" i="3"/>
  <c r="AS145" i="3" s="1"/>
  <c r="AH146" i="3"/>
  <c r="AG146" i="3"/>
  <c r="AF146" i="3"/>
  <c r="AE146" i="3"/>
  <c r="AD146" i="3"/>
  <c r="AC146" i="3"/>
  <c r="AB146" i="3"/>
  <c r="Z146" i="3"/>
  <c r="J146" i="3"/>
  <c r="AL146" i="3" s="1"/>
  <c r="AT145" i="3"/>
  <c r="BJ144" i="3"/>
  <c r="BF144" i="3"/>
  <c r="BD144" i="3"/>
  <c r="AX144" i="3"/>
  <c r="BC144" i="3" s="1"/>
  <c r="AW144" i="3"/>
  <c r="AV144" i="3" s="1"/>
  <c r="AP144" i="3"/>
  <c r="BI144" i="3" s="1"/>
  <c r="AO144" i="3"/>
  <c r="H144" i="3" s="1"/>
  <c r="H143" i="3" s="1"/>
  <c r="AK144" i="3"/>
  <c r="AJ144" i="3"/>
  <c r="AH144" i="3"/>
  <c r="AG144" i="3"/>
  <c r="AF144" i="3"/>
  <c r="AE144" i="3"/>
  <c r="AD144" i="3"/>
  <c r="AC144" i="3"/>
  <c r="AB144" i="3"/>
  <c r="Z144" i="3"/>
  <c r="J144" i="3"/>
  <c r="AL144" i="3" s="1"/>
  <c r="AU143" i="3" s="1"/>
  <c r="I144" i="3"/>
  <c r="AT143" i="3"/>
  <c r="AS143" i="3"/>
  <c r="I143" i="3"/>
  <c r="BJ139" i="3"/>
  <c r="BF139" i="3"/>
  <c r="BD139" i="3"/>
  <c r="AX139" i="3"/>
  <c r="AW139" i="3"/>
  <c r="AV139" i="3" s="1"/>
  <c r="AP139" i="3"/>
  <c r="BI139" i="3" s="1"/>
  <c r="AC139" i="3" s="1"/>
  <c r="AO139" i="3"/>
  <c r="BH139" i="3" s="1"/>
  <c r="AB139" i="3" s="1"/>
  <c r="AK139" i="3"/>
  <c r="AT138" i="3" s="1"/>
  <c r="AJ139" i="3"/>
  <c r="AH139" i="3"/>
  <c r="AG139" i="3"/>
  <c r="AF139" i="3"/>
  <c r="AE139" i="3"/>
  <c r="AD139" i="3"/>
  <c r="Z139" i="3"/>
  <c r="J139" i="3"/>
  <c r="AL139" i="3" s="1"/>
  <c r="AU138" i="3" s="1"/>
  <c r="I139" i="3"/>
  <c r="I138" i="3" s="1"/>
  <c r="H139" i="3"/>
  <c r="AS138" i="3"/>
  <c r="J138" i="3"/>
  <c r="H138" i="3"/>
  <c r="BJ135" i="3"/>
  <c r="BF135" i="3"/>
  <c r="BD135" i="3"/>
  <c r="AW135" i="3"/>
  <c r="AP135" i="3"/>
  <c r="BI135" i="3" s="1"/>
  <c r="AC135" i="3" s="1"/>
  <c r="AO135" i="3"/>
  <c r="BH135" i="3" s="1"/>
  <c r="AB135" i="3" s="1"/>
  <c r="AL135" i="3"/>
  <c r="AK135" i="3"/>
  <c r="AT134" i="3" s="1"/>
  <c r="AJ135" i="3"/>
  <c r="AS134" i="3" s="1"/>
  <c r="AH135" i="3"/>
  <c r="AG135" i="3"/>
  <c r="AF135" i="3"/>
  <c r="AE135" i="3"/>
  <c r="AD135" i="3"/>
  <c r="Z135" i="3"/>
  <c r="J135" i="3"/>
  <c r="I135" i="3"/>
  <c r="H135" i="3"/>
  <c r="H134" i="3" s="1"/>
  <c r="AU134" i="3"/>
  <c r="J134" i="3"/>
  <c r="I134" i="3"/>
  <c r="BJ133" i="3"/>
  <c r="Z133" i="3" s="1"/>
  <c r="BF133" i="3"/>
  <c r="BD133" i="3"/>
  <c r="AP133" i="3"/>
  <c r="BI133" i="3" s="1"/>
  <c r="AO133" i="3"/>
  <c r="BH133" i="3" s="1"/>
  <c r="AK133" i="3"/>
  <c r="AJ133" i="3"/>
  <c r="AH133" i="3"/>
  <c r="AG133" i="3"/>
  <c r="AF133" i="3"/>
  <c r="AE133" i="3"/>
  <c r="AD133" i="3"/>
  <c r="AC133" i="3"/>
  <c r="AB133" i="3"/>
  <c r="J133" i="3"/>
  <c r="AL133" i="3" s="1"/>
  <c r="H133" i="3"/>
  <c r="BJ130" i="3"/>
  <c r="BF130" i="3"/>
  <c r="BD130" i="3"/>
  <c r="AW130" i="3"/>
  <c r="AP130" i="3"/>
  <c r="BI130" i="3" s="1"/>
  <c r="AE130" i="3" s="1"/>
  <c r="AO130" i="3"/>
  <c r="BH130" i="3" s="1"/>
  <c r="AD130" i="3" s="1"/>
  <c r="AL130" i="3"/>
  <c r="AK130" i="3"/>
  <c r="AJ130" i="3"/>
  <c r="AH130" i="3"/>
  <c r="AG130" i="3"/>
  <c r="AF130" i="3"/>
  <c r="AC130" i="3"/>
  <c r="AB130" i="3"/>
  <c r="Z130" i="3"/>
  <c r="J130" i="3"/>
  <c r="I130" i="3"/>
  <c r="H130" i="3"/>
  <c r="BJ128" i="3"/>
  <c r="BF128" i="3"/>
  <c r="BD128" i="3"/>
  <c r="AX128" i="3"/>
  <c r="AW128" i="3"/>
  <c r="AP128" i="3"/>
  <c r="BI128" i="3" s="1"/>
  <c r="AE128" i="3" s="1"/>
  <c r="AO128" i="3"/>
  <c r="BH128" i="3" s="1"/>
  <c r="AD128" i="3" s="1"/>
  <c r="AK128" i="3"/>
  <c r="AJ128" i="3"/>
  <c r="AH128" i="3"/>
  <c r="AG128" i="3"/>
  <c r="AF128" i="3"/>
  <c r="AC128" i="3"/>
  <c r="AB128" i="3"/>
  <c r="Z128" i="3"/>
  <c r="J128" i="3"/>
  <c r="AL128" i="3" s="1"/>
  <c r="I128" i="3"/>
  <c r="H128" i="3"/>
  <c r="BJ124" i="3"/>
  <c r="BF124" i="3"/>
  <c r="BD124" i="3"/>
  <c r="AX124" i="3"/>
  <c r="BC124" i="3" s="1"/>
  <c r="AW124" i="3"/>
  <c r="AV124" i="3" s="1"/>
  <c r="AP124" i="3"/>
  <c r="BI124" i="3" s="1"/>
  <c r="AE124" i="3" s="1"/>
  <c r="AO124" i="3"/>
  <c r="H124" i="3" s="1"/>
  <c r="AK124" i="3"/>
  <c r="AJ124" i="3"/>
  <c r="AH124" i="3"/>
  <c r="AG124" i="3"/>
  <c r="AF124" i="3"/>
  <c r="AC124" i="3"/>
  <c r="AB124" i="3"/>
  <c r="Z124" i="3"/>
  <c r="J124" i="3"/>
  <c r="I124" i="3"/>
  <c r="BJ122" i="3"/>
  <c r="BF122" i="3"/>
  <c r="BD122" i="3"/>
  <c r="BC122" i="3"/>
  <c r="AX122" i="3"/>
  <c r="AP122" i="3"/>
  <c r="I122" i="3" s="1"/>
  <c r="AO122" i="3"/>
  <c r="AW122" i="3" s="1"/>
  <c r="AV122" i="3" s="1"/>
  <c r="AK122" i="3"/>
  <c r="AJ122" i="3"/>
  <c r="AH122" i="3"/>
  <c r="AG122" i="3"/>
  <c r="AF122" i="3"/>
  <c r="AC122" i="3"/>
  <c r="AB122" i="3"/>
  <c r="Z122" i="3"/>
  <c r="J122" i="3"/>
  <c r="AL122" i="3" s="1"/>
  <c r="BJ118" i="3"/>
  <c r="BF118" i="3"/>
  <c r="BD118" i="3"/>
  <c r="AW118" i="3"/>
  <c r="AP118" i="3"/>
  <c r="AX118" i="3" s="1"/>
  <c r="BC118" i="3" s="1"/>
  <c r="AO118" i="3"/>
  <c r="BH118" i="3" s="1"/>
  <c r="AD118" i="3" s="1"/>
  <c r="AL118" i="3"/>
  <c r="AK118" i="3"/>
  <c r="AJ118" i="3"/>
  <c r="AH118" i="3"/>
  <c r="AG118" i="3"/>
  <c r="AF118" i="3"/>
  <c r="AC118" i="3"/>
  <c r="AB118" i="3"/>
  <c r="Z118" i="3"/>
  <c r="J118" i="3"/>
  <c r="H118" i="3"/>
  <c r="BJ114" i="3"/>
  <c r="BF114" i="3"/>
  <c r="BD114" i="3"/>
  <c r="AX114" i="3"/>
  <c r="AP114" i="3"/>
  <c r="BI114" i="3" s="1"/>
  <c r="AE114" i="3" s="1"/>
  <c r="AO114" i="3"/>
  <c r="BH114" i="3" s="1"/>
  <c r="AD114" i="3" s="1"/>
  <c r="AL114" i="3"/>
  <c r="AK114" i="3"/>
  <c r="AJ114" i="3"/>
  <c r="AH114" i="3"/>
  <c r="AG114" i="3"/>
  <c r="AF114" i="3"/>
  <c r="AC114" i="3"/>
  <c r="AB114" i="3"/>
  <c r="Z114" i="3"/>
  <c r="J114" i="3"/>
  <c r="I114" i="3"/>
  <c r="H114" i="3"/>
  <c r="AS113" i="3"/>
  <c r="BJ110" i="3"/>
  <c r="BF110" i="3"/>
  <c r="BD110" i="3"/>
  <c r="AW110" i="3"/>
  <c r="AV110" i="3" s="1"/>
  <c r="AP110" i="3"/>
  <c r="AX110" i="3" s="1"/>
  <c r="BC110" i="3" s="1"/>
  <c r="AO110" i="3"/>
  <c r="BH110" i="3" s="1"/>
  <c r="AL110" i="3"/>
  <c r="AK110" i="3"/>
  <c r="AT101" i="3" s="1"/>
  <c r="AJ110" i="3"/>
  <c r="AH110" i="3"/>
  <c r="AG110" i="3"/>
  <c r="AF110" i="3"/>
  <c r="AE110" i="3"/>
  <c r="AD110" i="3"/>
  <c r="AB110" i="3"/>
  <c r="Z110" i="3"/>
  <c r="J110" i="3"/>
  <c r="H110" i="3"/>
  <c r="BJ108" i="3"/>
  <c r="BF108" i="3"/>
  <c r="BD108" i="3"/>
  <c r="AX108" i="3"/>
  <c r="AP108" i="3"/>
  <c r="BI108" i="3" s="1"/>
  <c r="AO108" i="3"/>
  <c r="BH108" i="3" s="1"/>
  <c r="AB108" i="3" s="1"/>
  <c r="AL108" i="3"/>
  <c r="AK108" i="3"/>
  <c r="AJ108" i="3"/>
  <c r="AH108" i="3"/>
  <c r="AG108" i="3"/>
  <c r="AF108" i="3"/>
  <c r="AE108" i="3"/>
  <c r="AD108" i="3"/>
  <c r="AC108" i="3"/>
  <c r="Z108" i="3"/>
  <c r="J108" i="3"/>
  <c r="I108" i="3"/>
  <c r="H108" i="3"/>
  <c r="BJ105" i="3"/>
  <c r="BH105" i="3"/>
  <c r="AB105" i="3" s="1"/>
  <c r="BF105" i="3"/>
  <c r="BD105" i="3"/>
  <c r="AP105" i="3"/>
  <c r="BI105" i="3" s="1"/>
  <c r="AC105" i="3" s="1"/>
  <c r="AO105" i="3"/>
  <c r="AL105" i="3"/>
  <c r="AK105" i="3"/>
  <c r="AJ105" i="3"/>
  <c r="AH105" i="3"/>
  <c r="AG105" i="3"/>
  <c r="AF105" i="3"/>
  <c r="AE105" i="3"/>
  <c r="AD105" i="3"/>
  <c r="Z105" i="3"/>
  <c r="J105" i="3"/>
  <c r="I105" i="3"/>
  <c r="BJ102" i="3"/>
  <c r="BI102" i="3"/>
  <c r="AC102" i="3" s="1"/>
  <c r="BF102" i="3"/>
  <c r="BD102" i="3"/>
  <c r="AP102" i="3"/>
  <c r="AO102" i="3"/>
  <c r="H102" i="3" s="1"/>
  <c r="AK102" i="3"/>
  <c r="AJ102" i="3"/>
  <c r="AS101" i="3" s="1"/>
  <c r="AH102" i="3"/>
  <c r="AG102" i="3"/>
  <c r="AF102" i="3"/>
  <c r="AE102" i="3"/>
  <c r="AD102" i="3"/>
  <c r="Z102" i="3"/>
  <c r="J102" i="3"/>
  <c r="AL102" i="3" s="1"/>
  <c r="AU101" i="3" s="1"/>
  <c r="BJ98" i="3"/>
  <c r="BH98" i="3"/>
  <c r="AB98" i="3" s="1"/>
  <c r="BF98" i="3"/>
  <c r="BD98" i="3"/>
  <c r="AP98" i="3"/>
  <c r="BI98" i="3" s="1"/>
  <c r="AC98" i="3" s="1"/>
  <c r="AO98" i="3"/>
  <c r="AL98" i="3"/>
  <c r="AU97" i="3" s="1"/>
  <c r="AK98" i="3"/>
  <c r="AJ98" i="3"/>
  <c r="AH98" i="3"/>
  <c r="AG98" i="3"/>
  <c r="AF98" i="3"/>
  <c r="AE98" i="3"/>
  <c r="AD98" i="3"/>
  <c r="Z98" i="3"/>
  <c r="J98" i="3"/>
  <c r="J97" i="3" s="1"/>
  <c r="I98" i="3"/>
  <c r="I97" i="3" s="1"/>
  <c r="AT97" i="3"/>
  <c r="AS97" i="3"/>
  <c r="BJ93" i="3"/>
  <c r="BF93" i="3"/>
  <c r="BD93" i="3"/>
  <c r="AX93" i="3"/>
  <c r="AP93" i="3"/>
  <c r="BI93" i="3" s="1"/>
  <c r="AO93" i="3"/>
  <c r="BH93" i="3" s="1"/>
  <c r="AB93" i="3" s="1"/>
  <c r="AL93" i="3"/>
  <c r="AU92" i="3" s="1"/>
  <c r="AK93" i="3"/>
  <c r="AT92" i="3" s="1"/>
  <c r="AJ93" i="3"/>
  <c r="AH93" i="3"/>
  <c r="AG93" i="3"/>
  <c r="AF93" i="3"/>
  <c r="AE93" i="3"/>
  <c r="AD93" i="3"/>
  <c r="AC93" i="3"/>
  <c r="Z93" i="3"/>
  <c r="J93" i="3"/>
  <c r="I93" i="3"/>
  <c r="I92" i="3" s="1"/>
  <c r="H93" i="3"/>
  <c r="H92" i="3" s="1"/>
  <c r="AS92" i="3"/>
  <c r="J92" i="3"/>
  <c r="BJ90" i="3"/>
  <c r="BF90" i="3"/>
  <c r="BD90" i="3"/>
  <c r="AW90" i="3"/>
  <c r="AV90" i="3" s="1"/>
  <c r="AP90" i="3"/>
  <c r="AX90" i="3" s="1"/>
  <c r="BC90" i="3" s="1"/>
  <c r="AO90" i="3"/>
  <c r="BH90" i="3" s="1"/>
  <c r="AB90" i="3" s="1"/>
  <c r="AL90" i="3"/>
  <c r="AK90" i="3"/>
  <c r="AT83" i="3" s="1"/>
  <c r="AJ90" i="3"/>
  <c r="AH90" i="3"/>
  <c r="AG90" i="3"/>
  <c r="AF90" i="3"/>
  <c r="AE90" i="3"/>
  <c r="AD90" i="3"/>
  <c r="Z90" i="3"/>
  <c r="J90" i="3"/>
  <c r="H90" i="3"/>
  <c r="BJ88" i="3"/>
  <c r="BF88" i="3"/>
  <c r="BD88" i="3"/>
  <c r="AX88" i="3"/>
  <c r="AP88" i="3"/>
  <c r="BI88" i="3" s="1"/>
  <c r="AO88" i="3"/>
  <c r="BH88" i="3" s="1"/>
  <c r="AB88" i="3" s="1"/>
  <c r="AL88" i="3"/>
  <c r="AU83" i="3" s="1"/>
  <c r="AK88" i="3"/>
  <c r="AJ88" i="3"/>
  <c r="AH88" i="3"/>
  <c r="AG88" i="3"/>
  <c r="AF88" i="3"/>
  <c r="AE88" i="3"/>
  <c r="AD88" i="3"/>
  <c r="AC88" i="3"/>
  <c r="Z88" i="3"/>
  <c r="J88" i="3"/>
  <c r="I88" i="3"/>
  <c r="H88" i="3"/>
  <c r="BJ86" i="3"/>
  <c r="BF86" i="3"/>
  <c r="BD86" i="3"/>
  <c r="AP86" i="3"/>
  <c r="BI86" i="3" s="1"/>
  <c r="AC86" i="3" s="1"/>
  <c r="AO86" i="3"/>
  <c r="BH86" i="3" s="1"/>
  <c r="AB86" i="3" s="1"/>
  <c r="AL86" i="3"/>
  <c r="AK86" i="3"/>
  <c r="AJ86" i="3"/>
  <c r="AS83" i="3" s="1"/>
  <c r="AH86" i="3"/>
  <c r="AG86" i="3"/>
  <c r="AF86" i="3"/>
  <c r="AE86" i="3"/>
  <c r="AD86" i="3"/>
  <c r="Z86" i="3"/>
  <c r="J86" i="3"/>
  <c r="I86" i="3"/>
  <c r="BJ84" i="3"/>
  <c r="BF84" i="3"/>
  <c r="BD84" i="3"/>
  <c r="AP84" i="3"/>
  <c r="AO84" i="3"/>
  <c r="H84" i="3" s="1"/>
  <c r="AK84" i="3"/>
  <c r="AJ84" i="3"/>
  <c r="AH84" i="3"/>
  <c r="AG84" i="3"/>
  <c r="AF84" i="3"/>
  <c r="AE84" i="3"/>
  <c r="AD84" i="3"/>
  <c r="Z84" i="3"/>
  <c r="J84" i="3"/>
  <c r="AL84" i="3" s="1"/>
  <c r="BJ80" i="3"/>
  <c r="BF80" i="3"/>
  <c r="BD80" i="3"/>
  <c r="AP80" i="3"/>
  <c r="BI80" i="3" s="1"/>
  <c r="AC80" i="3" s="1"/>
  <c r="AO80" i="3"/>
  <c r="BH80" i="3" s="1"/>
  <c r="AB80" i="3" s="1"/>
  <c r="AL80" i="3"/>
  <c r="AK80" i="3"/>
  <c r="AJ80" i="3"/>
  <c r="AH80" i="3"/>
  <c r="AG80" i="3"/>
  <c r="AF80" i="3"/>
  <c r="AE80" i="3"/>
  <c r="AD80" i="3"/>
  <c r="Z80" i="3"/>
  <c r="J80" i="3"/>
  <c r="I80" i="3"/>
  <c r="BJ76" i="3"/>
  <c r="BF76" i="3"/>
  <c r="BD76" i="3"/>
  <c r="AP76" i="3"/>
  <c r="AO76" i="3"/>
  <c r="H76" i="3" s="1"/>
  <c r="AK76" i="3"/>
  <c r="AT71" i="3" s="1"/>
  <c r="AJ76" i="3"/>
  <c r="AH76" i="3"/>
  <c r="AG76" i="3"/>
  <c r="AF76" i="3"/>
  <c r="AE76" i="3"/>
  <c r="AD76" i="3"/>
  <c r="Z76" i="3"/>
  <c r="J76" i="3"/>
  <c r="AL76" i="3" s="1"/>
  <c r="AU71" i="3" s="1"/>
  <c r="BJ72" i="3"/>
  <c r="BF72" i="3"/>
  <c r="BD72" i="3"/>
  <c r="AW72" i="3"/>
  <c r="AP72" i="3"/>
  <c r="I72" i="3" s="1"/>
  <c r="AO72" i="3"/>
  <c r="BH72" i="3" s="1"/>
  <c r="AB72" i="3" s="1"/>
  <c r="AL72" i="3"/>
  <c r="AK72" i="3"/>
  <c r="AJ72" i="3"/>
  <c r="AS71" i="3" s="1"/>
  <c r="AH72" i="3"/>
  <c r="AG72" i="3"/>
  <c r="AF72" i="3"/>
  <c r="C18" i="1" s="1"/>
  <c r="AE72" i="3"/>
  <c r="AD72" i="3"/>
  <c r="Z72" i="3"/>
  <c r="J72" i="3"/>
  <c r="H72" i="3"/>
  <c r="BJ67" i="3"/>
  <c r="BI67" i="3"/>
  <c r="AC67" i="3" s="1"/>
  <c r="BF67" i="3"/>
  <c r="BD67" i="3"/>
  <c r="AP67" i="3"/>
  <c r="AO67" i="3"/>
  <c r="H67" i="3" s="1"/>
  <c r="H66" i="3" s="1"/>
  <c r="AK67" i="3"/>
  <c r="AJ67" i="3"/>
  <c r="AH67" i="3"/>
  <c r="AG67" i="3"/>
  <c r="AF67" i="3"/>
  <c r="AE67" i="3"/>
  <c r="AD67" i="3"/>
  <c r="Z67" i="3"/>
  <c r="J67" i="3"/>
  <c r="AL67" i="3" s="1"/>
  <c r="AU66" i="3"/>
  <c r="AT66" i="3"/>
  <c r="AS66" i="3"/>
  <c r="BJ63" i="3"/>
  <c r="BH63" i="3"/>
  <c r="AB63" i="3" s="1"/>
  <c r="BF63" i="3"/>
  <c r="BD63" i="3"/>
  <c r="AP63" i="3"/>
  <c r="BI63" i="3" s="1"/>
  <c r="AC63" i="3" s="1"/>
  <c r="AO63" i="3"/>
  <c r="AL63" i="3"/>
  <c r="AK63" i="3"/>
  <c r="AJ63" i="3"/>
  <c r="AH63" i="3"/>
  <c r="AG63" i="3"/>
  <c r="AF63" i="3"/>
  <c r="AE63" i="3"/>
  <c r="AD63" i="3"/>
  <c r="Z63" i="3"/>
  <c r="J63" i="3"/>
  <c r="I63" i="3"/>
  <c r="BJ59" i="3"/>
  <c r="BF59" i="3"/>
  <c r="BD59" i="3"/>
  <c r="AP59" i="3"/>
  <c r="AO59" i="3"/>
  <c r="H59" i="3" s="1"/>
  <c r="AK59" i="3"/>
  <c r="AJ59" i="3"/>
  <c r="AH59" i="3"/>
  <c r="AG59" i="3"/>
  <c r="AF59" i="3"/>
  <c r="AE59" i="3"/>
  <c r="AD59" i="3"/>
  <c r="Z59" i="3"/>
  <c r="J59" i="3"/>
  <c r="AL59" i="3" s="1"/>
  <c r="BJ56" i="3"/>
  <c r="BF56" i="3"/>
  <c r="BD56" i="3"/>
  <c r="AW56" i="3"/>
  <c r="AP56" i="3"/>
  <c r="I56" i="3" s="1"/>
  <c r="AO56" i="3"/>
  <c r="BH56" i="3" s="1"/>
  <c r="AB56" i="3" s="1"/>
  <c r="AL56" i="3"/>
  <c r="AK56" i="3"/>
  <c r="AJ56" i="3"/>
  <c r="AH56" i="3"/>
  <c r="AG56" i="3"/>
  <c r="AF56" i="3"/>
  <c r="AE56" i="3"/>
  <c r="AD56" i="3"/>
  <c r="Z56" i="3"/>
  <c r="J56" i="3"/>
  <c r="H56" i="3"/>
  <c r="BJ53" i="3"/>
  <c r="BF53" i="3"/>
  <c r="BD53" i="3"/>
  <c r="AX53" i="3"/>
  <c r="AW53" i="3"/>
  <c r="AP53" i="3"/>
  <c r="BI53" i="3" s="1"/>
  <c r="AC53" i="3" s="1"/>
  <c r="AO53" i="3"/>
  <c r="BH53" i="3" s="1"/>
  <c r="AB53" i="3" s="1"/>
  <c r="AK53" i="3"/>
  <c r="AJ53" i="3"/>
  <c r="AH53" i="3"/>
  <c r="AG53" i="3"/>
  <c r="AF53" i="3"/>
  <c r="AE53" i="3"/>
  <c r="AD53" i="3"/>
  <c r="Z53" i="3"/>
  <c r="J53" i="3"/>
  <c r="AL53" i="3" s="1"/>
  <c r="I53" i="3"/>
  <c r="H53" i="3"/>
  <c r="BJ49" i="3"/>
  <c r="BF49" i="3"/>
  <c r="BD49" i="3"/>
  <c r="AX49" i="3"/>
  <c r="AW49" i="3"/>
  <c r="BC49" i="3" s="1"/>
  <c r="AP49" i="3"/>
  <c r="BI49" i="3" s="1"/>
  <c r="AC49" i="3" s="1"/>
  <c r="AO49" i="3"/>
  <c r="BH49" i="3" s="1"/>
  <c r="AB49" i="3" s="1"/>
  <c r="AK49" i="3"/>
  <c r="AJ49" i="3"/>
  <c r="AH49" i="3"/>
  <c r="AG49" i="3"/>
  <c r="AF49" i="3"/>
  <c r="AE49" i="3"/>
  <c r="AD49" i="3"/>
  <c r="Z49" i="3"/>
  <c r="J49" i="3"/>
  <c r="AL49" i="3" s="1"/>
  <c r="I49" i="3"/>
  <c r="H49" i="3"/>
  <c r="BJ46" i="3"/>
  <c r="BF46" i="3"/>
  <c r="BD46" i="3"/>
  <c r="BC46" i="3"/>
  <c r="AX46" i="3"/>
  <c r="AP46" i="3"/>
  <c r="BI46" i="3" s="1"/>
  <c r="AC46" i="3" s="1"/>
  <c r="AO46" i="3"/>
  <c r="AW46" i="3" s="1"/>
  <c r="AV46" i="3" s="1"/>
  <c r="AK46" i="3"/>
  <c r="AJ46" i="3"/>
  <c r="AS45" i="3" s="1"/>
  <c r="AH46" i="3"/>
  <c r="AG46" i="3"/>
  <c r="AF46" i="3"/>
  <c r="AE46" i="3"/>
  <c r="AD46" i="3"/>
  <c r="Z46" i="3"/>
  <c r="J46" i="3"/>
  <c r="I46" i="3"/>
  <c r="AT45" i="3"/>
  <c r="BJ41" i="3"/>
  <c r="BF41" i="3"/>
  <c r="BD41" i="3"/>
  <c r="AX41" i="3"/>
  <c r="AW41" i="3"/>
  <c r="AP41" i="3"/>
  <c r="BI41" i="3" s="1"/>
  <c r="AC41" i="3" s="1"/>
  <c r="AO41" i="3"/>
  <c r="BH41" i="3" s="1"/>
  <c r="AB41" i="3" s="1"/>
  <c r="AK41" i="3"/>
  <c r="AJ41" i="3"/>
  <c r="AH41" i="3"/>
  <c r="AG41" i="3"/>
  <c r="AF41" i="3"/>
  <c r="AE41" i="3"/>
  <c r="AD41" i="3"/>
  <c r="Z41" i="3"/>
  <c r="J41" i="3"/>
  <c r="I41" i="3"/>
  <c r="H41" i="3"/>
  <c r="BJ37" i="3"/>
  <c r="BF37" i="3"/>
  <c r="BD37" i="3"/>
  <c r="AX37" i="3"/>
  <c r="AP37" i="3"/>
  <c r="BI37" i="3" s="1"/>
  <c r="AC37" i="3" s="1"/>
  <c r="AO37" i="3"/>
  <c r="AW37" i="3" s="1"/>
  <c r="AV37" i="3" s="1"/>
  <c r="AK37" i="3"/>
  <c r="AJ37" i="3"/>
  <c r="AH37" i="3"/>
  <c r="AG37" i="3"/>
  <c r="AF37" i="3"/>
  <c r="AE37" i="3"/>
  <c r="AD37" i="3"/>
  <c r="Z37" i="3"/>
  <c r="J37" i="3"/>
  <c r="AL37" i="3" s="1"/>
  <c r="I37" i="3"/>
  <c r="BJ33" i="3"/>
  <c r="BF33" i="3"/>
  <c r="BD33" i="3"/>
  <c r="AW33" i="3"/>
  <c r="AP33" i="3"/>
  <c r="AX33" i="3" s="1"/>
  <c r="BC33" i="3" s="1"/>
  <c r="AO33" i="3"/>
  <c r="H33" i="3" s="1"/>
  <c r="AL33" i="3"/>
  <c r="AK33" i="3"/>
  <c r="AJ33" i="3"/>
  <c r="AH33" i="3"/>
  <c r="AG33" i="3"/>
  <c r="AF33" i="3"/>
  <c r="AE33" i="3"/>
  <c r="AD33" i="3"/>
  <c r="Z33" i="3"/>
  <c r="J33" i="3"/>
  <c r="BJ29" i="3"/>
  <c r="BF29" i="3"/>
  <c r="BD29" i="3"/>
  <c r="AX29" i="3"/>
  <c r="AP29" i="3"/>
  <c r="I29" i="3" s="1"/>
  <c r="AO29" i="3"/>
  <c r="BH29" i="3" s="1"/>
  <c r="AB29" i="3" s="1"/>
  <c r="AL29" i="3"/>
  <c r="AK29" i="3"/>
  <c r="AT28" i="3" s="1"/>
  <c r="AJ29" i="3"/>
  <c r="AH29" i="3"/>
  <c r="AG29" i="3"/>
  <c r="AF29" i="3"/>
  <c r="AE29" i="3"/>
  <c r="AD29" i="3"/>
  <c r="Z29" i="3"/>
  <c r="J29" i="3"/>
  <c r="H29" i="3"/>
  <c r="AS28" i="3"/>
  <c r="BJ24" i="3"/>
  <c r="BF24" i="3"/>
  <c r="BD24" i="3"/>
  <c r="AW24" i="3"/>
  <c r="AP24" i="3"/>
  <c r="AX24" i="3" s="1"/>
  <c r="BC24" i="3" s="1"/>
  <c r="AO24" i="3"/>
  <c r="H24" i="3" s="1"/>
  <c r="H23" i="3" s="1"/>
  <c r="AL24" i="3"/>
  <c r="AK24" i="3"/>
  <c r="AJ24" i="3"/>
  <c r="AS23" i="3" s="1"/>
  <c r="AH24" i="3"/>
  <c r="AG24" i="3"/>
  <c r="AF24" i="3"/>
  <c r="AE24" i="3"/>
  <c r="AD24" i="3"/>
  <c r="Z24" i="3"/>
  <c r="J24" i="3"/>
  <c r="AU23" i="3"/>
  <c r="J23" i="3"/>
  <c r="BJ14" i="3"/>
  <c r="BF14" i="3"/>
  <c r="BD14" i="3"/>
  <c r="AX14" i="3"/>
  <c r="AP14" i="3"/>
  <c r="BI14" i="3" s="1"/>
  <c r="AC14" i="3" s="1"/>
  <c r="AO14" i="3"/>
  <c r="AW14" i="3" s="1"/>
  <c r="AV14" i="3" s="1"/>
  <c r="AK14" i="3"/>
  <c r="AJ14" i="3"/>
  <c r="AS13" i="3" s="1"/>
  <c r="AH14" i="3"/>
  <c r="AG14" i="3"/>
  <c r="AF14" i="3"/>
  <c r="AE14" i="3"/>
  <c r="AD14" i="3"/>
  <c r="Z14" i="3"/>
  <c r="C21" i="1" s="1"/>
  <c r="J14" i="3"/>
  <c r="J13" i="3" s="1"/>
  <c r="I14" i="3"/>
  <c r="AT13" i="3"/>
  <c r="I13" i="3"/>
  <c r="AU1" i="3"/>
  <c r="AT1" i="3"/>
  <c r="AS1" i="3"/>
  <c r="F44" i="2"/>
  <c r="I44" i="2" s="1"/>
  <c r="F43" i="2"/>
  <c r="I43" i="2" s="1"/>
  <c r="F42" i="2"/>
  <c r="I42" i="2" s="1"/>
  <c r="F41" i="2"/>
  <c r="I41" i="2" s="1"/>
  <c r="F40" i="2"/>
  <c r="I40" i="2" s="1"/>
  <c r="F39" i="2"/>
  <c r="I39" i="2" s="1"/>
  <c r="F38" i="2"/>
  <c r="I38" i="2" s="1"/>
  <c r="F37" i="2"/>
  <c r="I37" i="2" s="1"/>
  <c r="I45" i="2" s="1"/>
  <c r="I24" i="1" s="1"/>
  <c r="F36" i="2"/>
  <c r="I36" i="2" s="1"/>
  <c r="F35" i="2"/>
  <c r="I35" i="2" s="1"/>
  <c r="I26" i="2"/>
  <c r="I25" i="2"/>
  <c r="I18" i="1" s="1"/>
  <c r="I24" i="2"/>
  <c r="I23" i="2"/>
  <c r="I16" i="1" s="1"/>
  <c r="I22" i="2"/>
  <c r="I21" i="2"/>
  <c r="I14" i="1" s="1"/>
  <c r="I22" i="1" s="1"/>
  <c r="I17" i="2"/>
  <c r="I16" i="2"/>
  <c r="I15" i="2"/>
  <c r="I10" i="2"/>
  <c r="F10" i="2"/>
  <c r="C10" i="2"/>
  <c r="F8" i="2"/>
  <c r="C8" i="2"/>
  <c r="F6" i="2"/>
  <c r="C6" i="2"/>
  <c r="F4" i="2"/>
  <c r="C4" i="2"/>
  <c r="F2" i="2"/>
  <c r="C2" i="2"/>
  <c r="C27" i="1"/>
  <c r="C20" i="1"/>
  <c r="I19" i="1"/>
  <c r="C19" i="1"/>
  <c r="I17" i="1"/>
  <c r="F16" i="1"/>
  <c r="I15" i="1"/>
  <c r="F15" i="1"/>
  <c r="I10" i="1"/>
  <c r="F10" i="1"/>
  <c r="C10" i="1"/>
  <c r="F8" i="1"/>
  <c r="C8" i="1"/>
  <c r="F6" i="1"/>
  <c r="C6" i="1"/>
  <c r="F4" i="1"/>
  <c r="C4" i="1"/>
  <c r="F2" i="1"/>
  <c r="C2" i="1"/>
  <c r="AX76" i="3" l="1"/>
  <c r="I76" i="3"/>
  <c r="C28" i="1"/>
  <c r="F28" i="1" s="1"/>
  <c r="AT23" i="3"/>
  <c r="AV33" i="3"/>
  <c r="AV118" i="3"/>
  <c r="J28" i="3"/>
  <c r="AL41" i="3"/>
  <c r="AX84" i="3"/>
  <c r="I84" i="3"/>
  <c r="BC14" i="3"/>
  <c r="H28" i="3"/>
  <c r="BC37" i="3"/>
  <c r="AV53" i="3"/>
  <c r="BC53" i="3"/>
  <c r="BI76" i="3"/>
  <c r="AC76" i="3" s="1"/>
  <c r="AV169" i="3"/>
  <c r="BC41" i="3"/>
  <c r="J45" i="3"/>
  <c r="AX59" i="3"/>
  <c r="I59" i="3"/>
  <c r="I45" i="3" s="1"/>
  <c r="AW63" i="3"/>
  <c r="H63" i="3"/>
  <c r="BI84" i="3"/>
  <c r="AC84" i="3" s="1"/>
  <c r="AV128" i="3"/>
  <c r="BC128" i="3"/>
  <c r="BC164" i="3"/>
  <c r="AV164" i="3"/>
  <c r="I18" i="2"/>
  <c r="F14" i="1"/>
  <c r="F22" i="1" s="1"/>
  <c r="C17" i="1"/>
  <c r="AT113" i="3"/>
  <c r="I71" i="3"/>
  <c r="AW86" i="3"/>
  <c r="H86" i="3"/>
  <c r="H83" i="3" s="1"/>
  <c r="AV24" i="3"/>
  <c r="AU28" i="3"/>
  <c r="AW98" i="3"/>
  <c r="H98" i="3"/>
  <c r="H97" i="3" s="1"/>
  <c r="BC161" i="3"/>
  <c r="AV161" i="3"/>
  <c r="AW80" i="3"/>
  <c r="H80" i="3"/>
  <c r="H71" i="3" s="1"/>
  <c r="BI59" i="3"/>
  <c r="AC59" i="3" s="1"/>
  <c r="AX67" i="3"/>
  <c r="I67" i="3"/>
  <c r="I66" i="3" s="1"/>
  <c r="AX102" i="3"/>
  <c r="I102" i="3"/>
  <c r="I101" i="3" s="1"/>
  <c r="AW105" i="3"/>
  <c r="H105" i="3"/>
  <c r="H101" i="3" s="1"/>
  <c r="J113" i="3"/>
  <c r="AL124" i="3"/>
  <c r="AU113" i="3" s="1"/>
  <c r="BC146" i="3"/>
  <c r="AV146" i="3"/>
  <c r="H158" i="3"/>
  <c r="H154" i="3" s="1"/>
  <c r="I27" i="2"/>
  <c r="AL14" i="3"/>
  <c r="BH24" i="3"/>
  <c r="AB24" i="3" s="1"/>
  <c r="BI29" i="3"/>
  <c r="AC29" i="3" s="1"/>
  <c r="BH33" i="3"/>
  <c r="AB33" i="3" s="1"/>
  <c r="AL46" i="3"/>
  <c r="AU45" i="3" s="1"/>
  <c r="AX56" i="3"/>
  <c r="AW59" i="3"/>
  <c r="AW67" i="3"/>
  <c r="AX72" i="3"/>
  <c r="AW76" i="3"/>
  <c r="AW84" i="3"/>
  <c r="AW102" i="3"/>
  <c r="AX130" i="3"/>
  <c r="I133" i="3"/>
  <c r="AW133" i="3"/>
  <c r="AX135" i="3"/>
  <c r="BC139" i="3"/>
  <c r="J143" i="3"/>
  <c r="BC149" i="3"/>
  <c r="AX151" i="3"/>
  <c r="I153" i="3"/>
  <c r="I145" i="3" s="1"/>
  <c r="AW153" i="3"/>
  <c r="BI156" i="3"/>
  <c r="BI159" i="3"/>
  <c r="BC166" i="3"/>
  <c r="BC169" i="3"/>
  <c r="BH14" i="3"/>
  <c r="AB14" i="3" s="1"/>
  <c r="BI24" i="3"/>
  <c r="AC24" i="3" s="1"/>
  <c r="C15" i="1" s="1"/>
  <c r="BI33" i="3"/>
  <c r="AC33" i="3" s="1"/>
  <c r="BH37" i="3"/>
  <c r="AB37" i="3" s="1"/>
  <c r="BH46" i="3"/>
  <c r="AB46" i="3" s="1"/>
  <c r="BI90" i="3"/>
  <c r="AC90" i="3" s="1"/>
  <c r="BI110" i="3"/>
  <c r="AC110" i="3" s="1"/>
  <c r="BI118" i="3"/>
  <c r="AE118" i="3" s="1"/>
  <c r="BH122" i="3"/>
  <c r="AD122" i="3" s="1"/>
  <c r="C16" i="1" s="1"/>
  <c r="AX133" i="3"/>
  <c r="BH146" i="3"/>
  <c r="AL147" i="3"/>
  <c r="AU145" i="3" s="1"/>
  <c r="AX153" i="3"/>
  <c r="BH161" i="3"/>
  <c r="BH164" i="3"/>
  <c r="AW29" i="3"/>
  <c r="AX63" i="3"/>
  <c r="J71" i="3"/>
  <c r="AX80" i="3"/>
  <c r="AX86" i="3"/>
  <c r="AW88" i="3"/>
  <c r="AW93" i="3"/>
  <c r="AX98" i="3"/>
  <c r="AX105" i="3"/>
  <c r="AW108" i="3"/>
  <c r="AW114" i="3"/>
  <c r="BI122" i="3"/>
  <c r="AE122" i="3" s="1"/>
  <c r="BH124" i="3"/>
  <c r="AD124" i="3" s="1"/>
  <c r="BH144" i="3"/>
  <c r="BI146" i="3"/>
  <c r="BH147" i="3"/>
  <c r="I156" i="3"/>
  <c r="I155" i="3" s="1"/>
  <c r="I154" i="3" s="1"/>
  <c r="AW156" i="3"/>
  <c r="I159" i="3"/>
  <c r="I158" i="3" s="1"/>
  <c r="AW159" i="3"/>
  <c r="H14" i="3"/>
  <c r="H13" i="3" s="1"/>
  <c r="I24" i="3"/>
  <c r="I23" i="3" s="1"/>
  <c r="I33" i="3"/>
  <c r="I28" i="3" s="1"/>
  <c r="H37" i="3"/>
  <c r="H46" i="3"/>
  <c r="H45" i="3" s="1"/>
  <c r="J66" i="3"/>
  <c r="J171" i="3" s="1"/>
  <c r="J83" i="3"/>
  <c r="I90" i="3"/>
  <c r="J101" i="3"/>
  <c r="I110" i="3"/>
  <c r="I118" i="3"/>
  <c r="I113" i="3" s="1"/>
  <c r="H122" i="3"/>
  <c r="H113" i="3" s="1"/>
  <c r="H146" i="3"/>
  <c r="H145" i="3" s="1"/>
  <c r="H161" i="3"/>
  <c r="H164" i="3"/>
  <c r="H163" i="3" s="1"/>
  <c r="AV41" i="3"/>
  <c r="AV49" i="3"/>
  <c r="BI169" i="3"/>
  <c r="BI56" i="3"/>
  <c r="AC56" i="3" s="1"/>
  <c r="BH59" i="3"/>
  <c r="AB59" i="3" s="1"/>
  <c r="BH67" i="3"/>
  <c r="AB67" i="3" s="1"/>
  <c r="BI72" i="3"/>
  <c r="AC72" i="3" s="1"/>
  <c r="BH76" i="3"/>
  <c r="AB76" i="3" s="1"/>
  <c r="BH84" i="3"/>
  <c r="AB84" i="3" s="1"/>
  <c r="BH102" i="3"/>
  <c r="AB102" i="3" s="1"/>
  <c r="I83" i="3" l="1"/>
  <c r="I12" i="3" s="1"/>
  <c r="AV67" i="3"/>
  <c r="BC67" i="3"/>
  <c r="BC88" i="3"/>
  <c r="AV88" i="3"/>
  <c r="BC159" i="3"/>
  <c r="AV159" i="3"/>
  <c r="AV130" i="3"/>
  <c r="BC130" i="3"/>
  <c r="BC93" i="3"/>
  <c r="AV93" i="3"/>
  <c r="AV135" i="3"/>
  <c r="BC135" i="3"/>
  <c r="H12" i="3"/>
  <c r="F29" i="2"/>
  <c r="BC114" i="3"/>
  <c r="AV114" i="3"/>
  <c r="AV151" i="3"/>
  <c r="BC151" i="3"/>
  <c r="AV102" i="3"/>
  <c r="BC102" i="3"/>
  <c r="BC63" i="3"/>
  <c r="AV63" i="3"/>
  <c r="AV133" i="3"/>
  <c r="BC133" i="3"/>
  <c r="BC80" i="3"/>
  <c r="AV80" i="3"/>
  <c r="AV153" i="3"/>
  <c r="BC153" i="3"/>
  <c r="BC156" i="3"/>
  <c r="AV156" i="3"/>
  <c r="BC108" i="3"/>
  <c r="AV108" i="3"/>
  <c r="C14" i="1"/>
  <c r="C22" i="1" s="1"/>
  <c r="AV84" i="3"/>
  <c r="BC84" i="3"/>
  <c r="J12" i="3"/>
  <c r="BC86" i="3"/>
  <c r="AV86" i="3"/>
  <c r="AV59" i="3"/>
  <c r="BC59" i="3"/>
  <c r="BC98" i="3"/>
  <c r="AV98" i="3"/>
  <c r="BC56" i="3"/>
  <c r="AV56" i="3"/>
  <c r="BC29" i="3"/>
  <c r="AV29" i="3"/>
  <c r="AV76" i="3"/>
  <c r="BC76" i="3"/>
  <c r="BC72" i="3"/>
  <c r="AV72" i="3"/>
  <c r="AU13" i="3"/>
  <c r="C29" i="1"/>
  <c r="BC105" i="3"/>
  <c r="AV105" i="3"/>
  <c r="F29" i="1" l="1"/>
  <c r="I28" i="1"/>
  <c r="I29" i="1" l="1"/>
</calcChain>
</file>

<file path=xl/sharedStrings.xml><?xml version="1.0" encoding="utf-8"?>
<sst xmlns="http://schemas.openxmlformats.org/spreadsheetml/2006/main" count="1117" uniqueCount="401">
  <si>
    <t>Krycí list slepého rozpočtu</t>
  </si>
  <si>
    <t>Název stavby:</t>
  </si>
  <si>
    <t>Objednatel:</t>
  </si>
  <si>
    <t>IČO/DIČ:</t>
  </si>
  <si>
    <t/>
  </si>
  <si>
    <t>Druh stavby:</t>
  </si>
  <si>
    <t>Projektant:</t>
  </si>
  <si>
    <t>Lokalita:</t>
  </si>
  <si>
    <t>Zhotovitel:</t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</si>
  <si>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</si>
  <si>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</si>
  <si>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</si>
  <si>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</si>
  <si>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</si>
  <si>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</si>
  <si>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</si>
  <si>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</si>
  <si>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</si>
  <si>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</si>
  <si>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</si>
  <si>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</si>
  <si>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</si>
  <si>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</si>
  <si>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</si>
  <si>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</si>
  <si>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</si>
  <si>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</si>
  <si>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</si>
  <si>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</si>
  <si>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</si>
  <si>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</si>
  <si>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</si>
  <si>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</si>
  <si>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</si>
  <si>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</si>
  <si>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</si>
  <si>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</si>
  <si>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</si>
  <si>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</si>
  <si>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</si>
  <si>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</si>
  <si>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</si>
  <si>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</si>
  <si>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</si>
  <si>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</si>
  <si>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</si>
  <si>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</si>
  <si>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</si>
  <si>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</si>
  <si>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</si>
  <si>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</si>
  <si>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</si>
  <si>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</si>
  <si>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</si>
  <si>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</si>
  <si>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</si>
  <si>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</si>
  <si>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 xml:space="preserve">Položkový rozpočet stavby a soupis prací (slepý rozpočet) zpracován dle Projektové dokumentace: "Oprava oplocení parc.č. 706/43, k.ú. Frýdek", Constructus s.r.o., Ing.Blanka Křižková, Ing.Václav Jurga, 06/2024. Nedílnou součástí rozpočtu je celá projektová dokumetnace včetně technických standardů použitých materiálů. 
Použitá cenová soustava je RTSI/2024 nebo vlastní položky. Pokud je u vlastních položek uvedeno číslo shodné se soustavou RTS a liší se pouze koncovkou (např._x1) náplň položky vychází ze standardů soustavy RTS a pouze se změní použitý materiál či způsob provedení. 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</si>
  <si>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</si>
  <si>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</si>
  <si>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</si>
  <si>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</si>
  <si>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</si>
  <si>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</si>
  <si>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</si>
  <si>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</si>
  <si>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</si>
  <si>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</si>
  <si>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</si>
  <si>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Průzkumy, geodetické a projektové práce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</si>
  <si>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</si>
  <si>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</si>
  <si>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</si>
  <si>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</si>
  <si>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</si>
  <si>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</si>
  <si>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</si>
  <si>
    <t>Slepý stavební rozpočet</t>
  </si>
  <si>
    <t>Oprava oplocení parc.č. 706/43, k.ú. Frýdek</t>
  </si>
  <si>
    <t>Doba výstavby:</t>
  </si>
  <si>
    <t xml:space="preserve"> </t>
  </si>
  <si>
    <t>Statutární město Frýdek-Místek</t>
  </si>
  <si>
    <t>Oplocení pozemku</t>
  </si>
  <si>
    <t>13.06.2024</t>
  </si>
  <si>
    <t>Constructus s.r.o</t>
  </si>
  <si>
    <t>Frýdek-Místek</t>
  </si>
  <si>
    <t>Dle výběru investora</t>
  </si>
  <si>
    <t>8152239</t>
  </si>
  <si>
    <t>Zpracováno dne:</t>
  </si>
  <si>
    <t>Ing.Lucie Szöke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</si>
  <si>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</si>
  <si>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</si>
  <si>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</si>
  <si>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</si>
  <si>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</si>
  <si>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</si>
  <si>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</si>
  <si>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</si>
  <si>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</si>
  <si>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</si>
  <si>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</si>
  <si>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</si>
  <si>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</si>
  <si>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</si>
  <si>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</si>
  <si>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</si>
  <si>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</si>
  <si>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</si>
  <si>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</si>
  <si>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</si>
  <si>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</si>
  <si>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</si>
  <si>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</si>
  <si>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</si>
  <si>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</si>
  <si>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</si>
  <si>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</si>
  <si>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</si>
  <si>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Nezařazeno</t>
  </si>
  <si>
    <t>13</t>
  </si>
  <si>
    <t>Hloubené vykopávky</t>
  </si>
  <si>
    <t>1</t>
  </si>
  <si>
    <t>139601102R00</t>
  </si>
  <si>
    <t>Ruční výkop jam, rýh a šachet v hornině tř. 3</t>
  </si>
  <si>
    <t>m3</t>
  </si>
  <si>
    <t>RTS I / 2024</t>
  </si>
  <si>
    <t>13_</t>
  </si>
  <si>
    <t>_1_</t>
  </si>
  <si>
    <t>_</t>
  </si>
  <si>
    <t>VÝKOP V NEZPEVNĚNÉ ČÁSTI KOLEM BOURANÝCH ČÁSTÍ</t>
  </si>
  <si>
    <t>(42,69-4,83+0,59)*0,3*1,1</t>
  </si>
  <si>
    <t>A-1.strana(celk.délka-brána,branka) + přesah na navazující stranu, viz D.1, 30cm odkop v nezpevněné</t>
  </si>
  <si>
    <t>(66,42-1,2)*0,3*1,1</t>
  </si>
  <si>
    <t>B-2.strana (celk.délka-branka), 30cm v nezpevněné části (vedle bourané podezdívky)</t>
  </si>
  <si>
    <t>(43,83)*(0,3*2)*1,1</t>
  </si>
  <si>
    <t>C-3.strana - z obou stran (30cm souběžně s bouranou podezdívkou)</t>
  </si>
  <si>
    <t>UROVNÁNÍ VÝKOPU PO VYBOURÁNÍ STÁVAJÍCÍCH ZÁKLADŮ</t>
  </si>
  <si>
    <t>(42,69-4,83+0,59)*0,3*0,2</t>
  </si>
  <si>
    <t>A-1.strana(celk.délka-brána,branka) + přesah na navazující stranu, viz D.1</t>
  </si>
  <si>
    <t>(66,42-1,2)*0,3*0,2</t>
  </si>
  <si>
    <t>B-2.strana (celk.délka-branka)</t>
  </si>
  <si>
    <t>(43,83)*0,3*0,2</t>
  </si>
  <si>
    <t>C-3.strana</t>
  </si>
  <si>
    <t>17</t>
  </si>
  <si>
    <t>Konstrukce ze zemin</t>
  </si>
  <si>
    <t>2</t>
  </si>
  <si>
    <t>174101102R00</t>
  </si>
  <si>
    <t>Zásyp ruční se zhutněním</t>
  </si>
  <si>
    <t>17_</t>
  </si>
  <si>
    <t>(42,69-4,83+0,59)*((0,2*1,1)+(0,1+0,3+0,1)*0,2)</t>
  </si>
  <si>
    <t>A-1.strana(celk.délka-brána,branka) + přesah na navazující stranu, viz D.1, zpětný zásyp výkopu (výk</t>
  </si>
  <si>
    <t>(66,42-1,2)*0,3*1,1-31*0,3*0,3*0,8</t>
  </si>
  <si>
    <t>B-2.strana (celk.délka-branka), zpětný záspy výkopu po vybourané podezdívce (výkop-kce)</t>
  </si>
  <si>
    <t>(43,83)*(0,3*2)*1,1-19*0,3*0,3*0,8</t>
  </si>
  <si>
    <t>C-3.strana - z obou stran, zpětný záspy výkopu po vybourané podezdívce (výkop-kce)</t>
  </si>
  <si>
    <t>18</t>
  </si>
  <si>
    <t>Povrchové úpravy terénu</t>
  </si>
  <si>
    <t>3</t>
  </si>
  <si>
    <t>181301101R00</t>
  </si>
  <si>
    <t>Rozprostření ornice, rovina, tl. do 10 cm do 500m2</t>
  </si>
  <si>
    <t>m2</t>
  </si>
  <si>
    <t>18_</t>
  </si>
  <si>
    <t>(42,69-4,83+0,59)*1,0</t>
  </si>
  <si>
    <t>A-1.strana(celk.délka-brána,branka) + přesah na navazující stranu, viz D.1, obnova terénu</t>
  </si>
  <si>
    <t>(66,42-1,2)*1,0</t>
  </si>
  <si>
    <t>B-2.strana (celk.délka-branka), obnova terénu</t>
  </si>
  <si>
    <t>(43,83)*1,0*2</t>
  </si>
  <si>
    <t>C-3.strana - z obou stran, obnova terénu</t>
  </si>
  <si>
    <t>4</t>
  </si>
  <si>
    <t>180402111R00</t>
  </si>
  <si>
    <t>Založení trávníku parkového výsevem v rovině</t>
  </si>
  <si>
    <t>5</t>
  </si>
  <si>
    <t>185803111R00</t>
  </si>
  <si>
    <t>Ošetření trávníku v rovině</t>
  </si>
  <si>
    <t>6</t>
  </si>
  <si>
    <t>185804215R00</t>
  </si>
  <si>
    <t>Vypletí trávníku po výsevu v rovině</t>
  </si>
  <si>
    <t>27</t>
  </si>
  <si>
    <t>Základy</t>
  </si>
  <si>
    <t>7</t>
  </si>
  <si>
    <t>274321321R00</t>
  </si>
  <si>
    <t>Železobeton základových pasů C 20/25</t>
  </si>
  <si>
    <t>27_</t>
  </si>
  <si>
    <t>_2_</t>
  </si>
  <si>
    <t>(42,69-4,83+0,59)*0,3*0,9</t>
  </si>
  <si>
    <t>(42,69-4,83+0,59)*0,76*0,081</t>
  </si>
  <si>
    <t>vnitřní výplň plotových tvárnic dle údajů výrobce 0,081m3 betonu na 1m2 zdiva - výplňový beton</t>
  </si>
  <si>
    <t>8</t>
  </si>
  <si>
    <t>274361921RT8</t>
  </si>
  <si>
    <t>Výztuž základových pasů ze svařovaných sítí</t>
  </si>
  <si>
    <t>t</t>
  </si>
  <si>
    <t>KY 81, drát d 8,0 mm, oko 100 x 100 mm</t>
  </si>
  <si>
    <t>(42,69-4,83+0,59)*(0,3+0,9*2)*1,15*7,90*0,001</t>
  </si>
  <si>
    <t>15% navíc na přesahy, plošná hmotnost 7,9kg/m2</t>
  </si>
  <si>
    <t>9</t>
  </si>
  <si>
    <t>OPL2</t>
  </si>
  <si>
    <t>Ohýbání sítí do stran</t>
  </si>
  <si>
    <t>m</t>
  </si>
  <si>
    <t>(42,69-4,83+0,59)*2</t>
  </si>
  <si>
    <t>10</t>
  </si>
  <si>
    <t>275313621R00</t>
  </si>
  <si>
    <t>Beton základových patek prostý C 20/25</t>
  </si>
  <si>
    <t>31*0,3*0,3*0,8</t>
  </si>
  <si>
    <t>19*0,3*0,3*0,8</t>
  </si>
  <si>
    <t>11</t>
  </si>
  <si>
    <t>275351215RT1</t>
  </si>
  <si>
    <t>Bednění stěn základových patek - zřízení</t>
  </si>
  <si>
    <t>bednicí materiál prkna</t>
  </si>
  <si>
    <t>31*(0,3*4*0,8)</t>
  </si>
  <si>
    <t>19*(0,3*4*0,8)</t>
  </si>
  <si>
    <t>12</t>
  </si>
  <si>
    <t>275351216R00</t>
  </si>
  <si>
    <t>Bednění stěn základových patek - odstranění</t>
  </si>
  <si>
    <t>31</t>
  </si>
  <si>
    <t>Zdi podpěrné a volné</t>
  </si>
  <si>
    <t>318110011RT7</t>
  </si>
  <si>
    <t>Osazení beton. podhrabové desky do ZN držáků</t>
  </si>
  <si>
    <t>soubor</t>
  </si>
  <si>
    <t>31_</t>
  </si>
  <si>
    <t>_3_</t>
  </si>
  <si>
    <t>deska 245x30x5cm, držák na sloupek 6x6/4cm v.30cm</t>
  </si>
  <si>
    <t>31-1</t>
  </si>
  <si>
    <t>19-1</t>
  </si>
  <si>
    <t>33</t>
  </si>
  <si>
    <t>Sloupy a pilíře, stožáry a rámové stojky</t>
  </si>
  <si>
    <t>14</t>
  </si>
  <si>
    <t>338171112R00_x1</t>
  </si>
  <si>
    <t>Osazení sloupků plot.ocelových do 2 m,zabet.C20/25</t>
  </si>
  <si>
    <t>kus</t>
  </si>
  <si>
    <t>33_</t>
  </si>
  <si>
    <t>19</t>
  </si>
  <si>
    <t>15</t>
  </si>
  <si>
    <t>OPL4</t>
  </si>
  <si>
    <t>Sloupek pro 3D panel h = 2000 mm, Zn + poplast, celk.tl.2,0mm, čtyřhranný 60x60x1,5, včetně čepiček a objímek pro uchycení panelů</t>
  </si>
  <si>
    <t>16</t>
  </si>
  <si>
    <t>OPL5</t>
  </si>
  <si>
    <t>Úprava koncové části oplocení - napojení nového na stávající</t>
  </si>
  <si>
    <t>Částečné ubourání podezdívky, odřezání rámu, připevnění stávajícího rámu k novému sloupku (nové objímky, kotevní prvky), nový nátěr rámu (obroušení, odmaštění, 2x nátěr)</t>
  </si>
  <si>
    <t>napojení A,C na stávající plot</t>
  </si>
  <si>
    <t>34</t>
  </si>
  <si>
    <t>Stěny a příčky</t>
  </si>
  <si>
    <t>348922211R00</t>
  </si>
  <si>
    <t>Zdivo plot.tl.200mm z tvar.hladkých přírod.</t>
  </si>
  <si>
    <t>34_</t>
  </si>
  <si>
    <t>(42,69-4,83+0,59)*0,76</t>
  </si>
  <si>
    <t>348924131R00</t>
  </si>
  <si>
    <t>Stříška plot.zeď tl.200mm z tvar.hlad.přír,</t>
  </si>
  <si>
    <t>(42,69-4,83+0,59)</t>
  </si>
  <si>
    <t>348929111R00</t>
  </si>
  <si>
    <t>Příplatek na řezání 1ks betonové tvarovky</t>
  </si>
  <si>
    <t>19*2</t>
  </si>
  <si>
    <t>20</t>
  </si>
  <si>
    <t>341361821R00</t>
  </si>
  <si>
    <t>Výztuž stěn a příček z betonářské oceli B500B (10 505)</t>
  </si>
  <si>
    <t>(42,69-4,83+0,59)*6*1,0*1,21*0,001</t>
  </si>
  <si>
    <t>R14 délky 1,0, v bm max.6 kusů,</t>
  </si>
  <si>
    <t>56</t>
  </si>
  <si>
    <t>Podkladní vrstvy komunikací, letišť a ploch</t>
  </si>
  <si>
    <t>21</t>
  </si>
  <si>
    <t>564811113RT2</t>
  </si>
  <si>
    <t>Podklad ze štěrkodrti po zhutnění tloušťky 7 cm</t>
  </si>
  <si>
    <t>56_</t>
  </si>
  <si>
    <t>_5_</t>
  </si>
  <si>
    <t>štěrkodrť frakce 0-32 mm</t>
  </si>
  <si>
    <t>(42,69-4,83+0,59)*0,15</t>
  </si>
  <si>
    <t>A-1.strana(celk.délka-brána,branka) + přesah na navazující stranu, viz D.1,</t>
  </si>
  <si>
    <t>(66,42-1,2)*0,15</t>
  </si>
  <si>
    <t>B-2.strana (celk.délka-branka),</t>
  </si>
  <si>
    <t>57</t>
  </si>
  <si>
    <t>Kryty pozemních komunikací, letišť a ploch z kameniva nebo živičné</t>
  </si>
  <si>
    <t>22</t>
  </si>
  <si>
    <t>572952112R00</t>
  </si>
  <si>
    <t>Vyspravení krytu po překopu asf.betonem tl.do 7 cm</t>
  </si>
  <si>
    <t>57_</t>
  </si>
  <si>
    <t>62</t>
  </si>
  <si>
    <t>Úprava povrchů vnější</t>
  </si>
  <si>
    <t>23</t>
  </si>
  <si>
    <t>627452111RT1</t>
  </si>
  <si>
    <t>Spárování maltou MCs zapuštěné rovné, zdí z cihel</t>
  </si>
  <si>
    <t>62_</t>
  </si>
  <si>
    <t>_6_</t>
  </si>
  <si>
    <t>cementovou maltou</t>
  </si>
  <si>
    <t>0,6*2,0*2</t>
  </si>
  <si>
    <t>oprava cihelných pilířů u brány</t>
  </si>
  <si>
    <t>24</t>
  </si>
  <si>
    <t>622477212RT1</t>
  </si>
  <si>
    <t>Omítka vnější štuková ze SMS,3.vrst,slož.1-2</t>
  </si>
  <si>
    <t>postřik,jádro ,štuk</t>
  </si>
  <si>
    <t>0,6*2,0*2+0,7*0,3*2</t>
  </si>
  <si>
    <t>cihelné pilířky u bran</t>
  </si>
  <si>
    <t>25</t>
  </si>
  <si>
    <t>622481271R00</t>
  </si>
  <si>
    <t>Síťovina pro vyztužení vněj.jádr.omítky, oka 10/10</t>
  </si>
  <si>
    <t>26</t>
  </si>
  <si>
    <t>622471317RV7</t>
  </si>
  <si>
    <t>Nátěr nebo nástřik stěn vnějších, složitost 1 - 2</t>
  </si>
  <si>
    <t>barva silikonová</t>
  </si>
  <si>
    <t>767</t>
  </si>
  <si>
    <t>Konstrukce doplňkové stavební (zámečnické)</t>
  </si>
  <si>
    <t>767914830R00</t>
  </si>
  <si>
    <t>Demontáž oplocení rámového H do 2 m</t>
  </si>
  <si>
    <t>767_</t>
  </si>
  <si>
    <t>_76_</t>
  </si>
  <si>
    <t>(66,42-1,2)</t>
  </si>
  <si>
    <t>(43,83)</t>
  </si>
  <si>
    <t>28</t>
  </si>
  <si>
    <t>OPL1</t>
  </si>
  <si>
    <t>Odřezání sloupků od základů</t>
  </si>
  <si>
    <t>29</t>
  </si>
  <si>
    <t>767914120R00</t>
  </si>
  <si>
    <t>Montáž oplocení rámového H do 1,5 m</t>
  </si>
  <si>
    <t>30</t>
  </si>
  <si>
    <t>OPL3</t>
  </si>
  <si>
    <t>Plotový svařovaný panel s 3D prolisem, šířka 2500mm, výška 1230mm, Zn+PVC, tl.drátu 5mm, oko 50x200, zelený, včetně kotevních prvků</t>
  </si>
  <si>
    <t>OPL6</t>
  </si>
  <si>
    <t>Nátěr stávající brány š.3,45m, výšky 1,60m (včetně drobných oprav pantů, zámku, promazání, apod.)</t>
  </si>
  <si>
    <t>A - brána</t>
  </si>
  <si>
    <t>32</t>
  </si>
  <si>
    <t>OPL7</t>
  </si>
  <si>
    <t>Nátěr stávající branky š.1,20m, výšky 1,60m (včetně drobných oprav pantů, zámku, promazání, apod.)</t>
  </si>
  <si>
    <t>A - branka</t>
  </si>
  <si>
    <t>B - branka</t>
  </si>
  <si>
    <t>998767101R00</t>
  </si>
  <si>
    <t>Přesun hmot pro zámečnické konstr., výšky do 6 m</t>
  </si>
  <si>
    <t>91</t>
  </si>
  <si>
    <t>Doplňující konstrukce a práce na pozemních komunikacích a zpevněných plochách</t>
  </si>
  <si>
    <t>919735113R00</t>
  </si>
  <si>
    <t>Řezání stávajícího živičného krytu tl. 10 - 15 cm</t>
  </si>
  <si>
    <t>91_</t>
  </si>
  <si>
    <t>_9_</t>
  </si>
  <si>
    <t>96</t>
  </si>
  <si>
    <t>Bourání konstrukcí</t>
  </si>
  <si>
    <t>35</t>
  </si>
  <si>
    <t>961055111R00</t>
  </si>
  <si>
    <t>Bourání základů železobetonových</t>
  </si>
  <si>
    <t>96_</t>
  </si>
  <si>
    <t>(42,69-4,83+0,59)*0,2*(1,1+0,4)</t>
  </si>
  <si>
    <t>1.strana(celk.délka-brána,branka) + přesah na navazující stranu, viz D.1</t>
  </si>
  <si>
    <t>(66,42-1,2)*0,2*(1,1+0,4)</t>
  </si>
  <si>
    <t>2.strana(celk.délka-branka)</t>
  </si>
  <si>
    <t>(43,83)*0,2*(1,1+0,4)</t>
  </si>
  <si>
    <t>3.strana</t>
  </si>
  <si>
    <t>H01</t>
  </si>
  <si>
    <t>Budovy občanské výstavby</t>
  </si>
  <si>
    <t>36</t>
  </si>
  <si>
    <t>998151111R00</t>
  </si>
  <si>
    <t>Přesun hmot, oplocení a zvláštní obj. zděné do 10m</t>
  </si>
  <si>
    <t>H01_</t>
  </si>
  <si>
    <t>S</t>
  </si>
  <si>
    <t>Přesuny sutí</t>
  </si>
  <si>
    <t>37</t>
  </si>
  <si>
    <t>979082111R00</t>
  </si>
  <si>
    <t>Vnitrostaveništní doprava suti do 10 m</t>
  </si>
  <si>
    <t>RTS II / 2023</t>
  </si>
  <si>
    <t>S_</t>
  </si>
  <si>
    <t>38</t>
  </si>
  <si>
    <t>979094211R00</t>
  </si>
  <si>
    <t>Nakládání nebo překládání vybourané suti</t>
  </si>
  <si>
    <t>107,59</t>
  </si>
  <si>
    <t>39</t>
  </si>
  <si>
    <t>979081111R00</t>
  </si>
  <si>
    <t>Odvoz suti a vybour. hmot na skládku do 1 km</t>
  </si>
  <si>
    <t>40</t>
  </si>
  <si>
    <t>979081121R00</t>
  </si>
  <si>
    <t>Příplatek k odvozu za každý další 1 km</t>
  </si>
  <si>
    <t>107,59*4</t>
  </si>
  <si>
    <t>41</t>
  </si>
  <si>
    <t>979999978R00</t>
  </si>
  <si>
    <t>Poplatek za recyklaci, beton lehce vyztužený, kusovost do 1600 cm2 (skup.170101)</t>
  </si>
  <si>
    <t>VORN</t>
  </si>
  <si>
    <t>01VRN</t>
  </si>
  <si>
    <t>42</t>
  </si>
  <si>
    <t>013002VRN_x1</t>
  </si>
  <si>
    <t>Projektové práce - Dokumentace skutečného provedení stavby</t>
  </si>
  <si>
    <t>Soubor</t>
  </si>
  <si>
    <t>99</t>
  </si>
  <si>
    <t>01VRN_</t>
  </si>
  <si>
    <t>_Â _</t>
  </si>
  <si>
    <t>02VRN</t>
  </si>
  <si>
    <t>43</t>
  </si>
  <si>
    <t>020001VRN_x1</t>
  </si>
  <si>
    <t>Příprava staveniště - vytyčení sítí TI</t>
  </si>
  <si>
    <t>02VRN_</t>
  </si>
  <si>
    <t>44</t>
  </si>
  <si>
    <t>021002VRN_x1</t>
  </si>
  <si>
    <t>Zabezpečovací práce - ochrana obnažených sítí TI v prostoru stavebních prací</t>
  </si>
  <si>
    <t>03VRN</t>
  </si>
  <si>
    <t>45</t>
  </si>
  <si>
    <t>030001VRN</t>
  </si>
  <si>
    <t>03VRN_</t>
  </si>
  <si>
    <t>dle potřeb stavby (oplocení, kontejner šatna/kancelář, mobilní wc, podružné měření spotřeby vody a e</t>
  </si>
  <si>
    <t>46</t>
  </si>
  <si>
    <t>039002VRN_x1</t>
  </si>
  <si>
    <t>Zpětný zához obnažených sítí TI včetně ochranných prvků, ve spolupráci s jednotlivými správci</t>
  </si>
  <si>
    <t>04VRN</t>
  </si>
  <si>
    <t>47</t>
  </si>
  <si>
    <t>045002VRN_x1</t>
  </si>
  <si>
    <t>Náklady kompletaci, kolaudaci</t>
  </si>
  <si>
    <t>04VRN_</t>
  </si>
  <si>
    <t>Celkem:</t>
  </si>
  <si>
    <t>Položkový rozpočet stavby a soupis prací (slepý rozpočet) zpracován dle Projektové dokumentace: "Oprava oplocení parc.č. 706/43, k.ú. Frýdek", Constructus s.r.o., Ing.Blanka Křižková, Ing.Václav Jurga, 06/2024. Nedílnou součástí rozpočtu je celá projektová dokumetnace včetně technických standardů použitých materiálů. 
Použitá cenová soustava je RTSI/2024 nebo vlastní položky. Pokud je u vlastních položek uvedeno číslo shodné se soustavou RTS a liší se pouze koncovkou (např._x1) náplň položky vychází ze standardů soustavy RTS a pouze se změní použitý materiál či způsob provedení.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</si>
</sst>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  <font>
      <i/>
      <sz val="10"/>
      <color rgb="FF000080"/>
      <name val="Arial"/>
      <charset val="238"/>
    </font>
    <font>
      <i/>
      <sz val="10"/>
      <color rgb="FF800000"/>
      <name val="Arial"/>
      <charset val="238"/>
    </font>
    <font>
      <i/>
      <sz val="10"/>
      <color rgb="FF000000"/>
      <name val="Arial"/>
      <charset val="238"/>
    </font>
    <font>
      <sz val="10"/>
      <color rgb="FF00800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008000"/>
        <bgColor rgb="FF008000"/>
      </patternFill>
    </fill>
    <fill>
      <patternFill patternType="solid">
        <fgColor rgb="FFEAEAEA"/>
        <bgColor rgb="FFEAEAEA"/>
      </patternFill>
    </fill>
  </fills>
  <borders count="7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4" fontId="8" fillId="0" borderId="16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4" fontId="7" fillId="2" borderId="13" xfId="0" applyNumberFormat="1" applyFont="1" applyFill="1" applyBorder="1" applyAlignment="1">
      <alignment horizontal="right" vertical="center"/>
    </xf>
    <xf numFmtId="4" fontId="7" fillId="2" borderId="18" xfId="0" applyNumberFormat="1" applyFont="1" applyFill="1" applyBorder="1" applyAlignment="1">
      <alignment horizontal="right" vertical="center"/>
    </xf>
    <xf numFmtId="0" fontId="9" fillId="0" borderId="40" xfId="0" applyFont="1" applyBorder="1" applyAlignment="1">
      <alignment horizontal="left" vertical="center"/>
    </xf>
    <xf numFmtId="0" fontId="3" fillId="0" borderId="45" xfId="0" applyFont="1" applyBorder="1" applyAlignment="1">
      <alignment horizontal="right" vertical="center"/>
    </xf>
    <xf numFmtId="4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4" fontId="2" fillId="0" borderId="49" xfId="0" applyNumberFormat="1" applyFont="1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53" xfId="0" applyFont="1" applyBorder="1" applyAlignment="1">
      <alignment horizontal="right" vertical="center"/>
    </xf>
    <xf numFmtId="4" fontId="3" fillId="0" borderId="53" xfId="0" applyNumberFormat="1" applyFont="1" applyBorder="1" applyAlignment="1">
      <alignment horizontal="right" vertical="center"/>
    </xf>
    <xf numFmtId="0" fontId="3" fillId="4" borderId="40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4" fontId="3" fillId="3" borderId="0" xfId="0" applyNumberFormat="1" applyFont="1" applyFill="1" applyAlignment="1">
      <alignment horizontal="right" vertical="center" wrapText="1"/>
    </xf>
    <xf numFmtId="0" fontId="3" fillId="0" borderId="57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2" fillId="0" borderId="63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left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2" fillId="4" borderId="71" xfId="0" applyFont="1" applyFill="1" applyBorder="1" applyAlignment="1">
      <alignment horizontal="left" vertical="center" wrapText="1"/>
    </xf>
    <xf numFmtId="0" fontId="2" fillId="4" borderId="40" xfId="0" applyFont="1" applyFill="1" applyBorder="1" applyAlignment="1">
      <alignment horizontal="left" vertical="center" wrapText="1"/>
    </xf>
    <xf numFmtId="4" fontId="3" fillId="4" borderId="40" xfId="0" applyNumberFormat="1" applyFont="1" applyFill="1" applyBorder="1" applyAlignment="1">
      <alignment horizontal="right" vertical="center" wrapText="1"/>
    </xf>
    <xf numFmtId="0" fontId="3" fillId="4" borderId="72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3" fillId="3" borderId="6" xfId="0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0" fillId="0" borderId="5" xfId="0" applyBorder="1" applyAlignment="1">
      <alignment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" fontId="10" fillId="0" borderId="0" xfId="0" applyNumberFormat="1" applyFont="1" applyAlignment="1">
      <alignment horizontal="right" vertical="center" wrapText="1"/>
    </xf>
    <xf numFmtId="0" fontId="0" fillId="0" borderId="6" xfId="0" applyBorder="1" applyAlignment="1">
      <alignment wrapText="1"/>
    </xf>
    <xf numFmtId="0" fontId="13" fillId="0" borderId="5" xfId="0" applyFont="1" applyBorder="1" applyAlignment="1">
      <alignment horizontal="left" vertical="center" wrapText="1"/>
    </xf>
    <xf numFmtId="4" fontId="13" fillId="0" borderId="0" xfId="0" applyNumberFormat="1" applyFont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10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4" fontId="10" fillId="0" borderId="8" xfId="0" applyNumberFormat="1" applyFont="1" applyBorder="1" applyAlignment="1">
      <alignment horizontal="right" vertical="center" wrapText="1"/>
    </xf>
    <xf numFmtId="0" fontId="0" fillId="0" borderId="9" xfId="0" applyBorder="1" applyAlignment="1">
      <alignment wrapText="1"/>
    </xf>
    <xf numFmtId="4" fontId="3" fillId="0" borderId="73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" fontId="2" fillId="0" borderId="6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4" fontId="7" fillId="0" borderId="54" xfId="0" applyNumberFormat="1" applyFont="1" applyBorder="1" applyAlignment="1">
      <alignment horizontal="right" vertical="center"/>
    </xf>
    <xf numFmtId="0" fontId="7" fillId="0" borderId="51" xfId="0" applyFont="1" applyBorder="1" applyAlignment="1">
      <alignment horizontal="right" vertical="center"/>
    </xf>
    <xf numFmtId="0" fontId="7" fillId="0" borderId="52" xfId="0" applyFont="1" applyBorder="1" applyAlignment="1">
      <alignment horizontal="right" vertical="center"/>
    </xf>
    <xf numFmtId="0" fontId="7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3" fillId="0" borderId="7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3" fillId="0" borderId="66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left" vertical="center" wrapText="1"/>
    </xf>
    <xf numFmtId="0" fontId="3" fillId="0" borderId="59" xfId="0" applyFont="1" applyBorder="1" applyAlignment="1">
      <alignment horizontal="left" vertical="center" wrapText="1"/>
    </xf>
    <xf numFmtId="0" fontId="3" fillId="0" borderId="60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opLeftCell="A10" workbookViewId="0">
      <selection activeCell="A37" sqref="A37:I37"/>
    </sheetView>
  </sheetViews>
  <sheetFormatPr defaultColWidth="12.109375" defaultRowHeight="15" customHeight="1" x14ac:dyDescent="0.3"/>
  <cols>
    <col min="1" max="1" width="9.109375" customWidth="1"/>
    <col min="2" max="2" width="12.88671875" customWidth="1"/>
    <col min="3" max="3" width="27.109375" customWidth="1"/>
    <col min="4" max="4" width="10" customWidth="1"/>
    <col min="5" max="5" width="14" customWidth="1"/>
    <col min="6" max="6" width="27.109375" customWidth="1"/>
    <col min="7" max="7" width="9.109375" customWidth="1"/>
    <col min="8" max="8" width="12.88671875" customWidth="1"/>
    <col min="9" max="9" width="27.109375" customWidth="1"/>
  </cols>
  <sheetData>
    <row r="1" spans="1:9" ht="54.75" customHeight="1" x14ac:dyDescent="0.3">
      <c r="A1" s="115" t="s">
        <v>0</v>
      </c>
      <c r="B1" s="116"/>
      <c r="C1" s="116"/>
      <c r="D1" s="116"/>
      <c r="E1" s="116"/>
      <c r="F1" s="116"/>
      <c r="G1" s="116"/>
      <c r="H1" s="116"/>
      <c r="I1" s="116"/>
    </row>
    <row r="2" spans="1:9" ht="14.4" x14ac:dyDescent="0.3">
      <c r="A2" s="117" t="s">
        <v>1</v>
      </c>
      <c r="B2" s="118"/>
      <c r="C2" s="112" t="str">
        <f>'Stavební rozpočet'!C2</f>
        <v>Oprava oplocení parc.č. 706/43, k.ú. Frýdek</v>
      </c>
      <c r="D2" s="113"/>
      <c r="E2" s="109" t="s">
        <v>2</v>
      </c>
      <c r="F2" s="109" t="str">
        <f>'Stavební rozpočet'!I2</f>
        <v>Statutární město Frýdek-Místek</v>
      </c>
      <c r="G2" s="118"/>
      <c r="H2" s="109" t="s">
        <v>3</v>
      </c>
      <c r="I2" s="120" t="s">
        <v>4</v>
      </c>
    </row>
    <row r="3" spans="1:9" ht="15" customHeight="1" x14ac:dyDescent="0.3">
      <c r="A3" s="119"/>
      <c r="B3" s="72"/>
      <c r="C3" s="114"/>
      <c r="D3" s="114"/>
      <c r="E3" s="72"/>
      <c r="F3" s="72"/>
      <c r="G3" s="72"/>
      <c r="H3" s="72"/>
      <c r="I3" s="121"/>
    </row>
    <row r="4" spans="1:9" ht="14.4" x14ac:dyDescent="0.3">
      <c r="A4" s="110" t="s">
        <v>5</v>
      </c>
      <c r="B4" s="72"/>
      <c r="C4" s="71" t="str">
        <f>'Stavební rozpočet'!C4</f>
        <v>Oplocení pozemku</v>
      </c>
      <c r="D4" s="72"/>
      <c r="E4" s="71" t="s">
        <v>6</v>
      </c>
      <c r="F4" s="71" t="str">
        <f>'Stavební rozpočet'!I4</f>
        <v>Constructus s.r.o</v>
      </c>
      <c r="G4" s="72"/>
      <c r="H4" s="71" t="s">
        <v>3</v>
      </c>
      <c r="I4" s="121" t="s">
        <v>4</v>
      </c>
    </row>
    <row r="5" spans="1:9" ht="15" customHeight="1" x14ac:dyDescent="0.3">
      <c r="A5" s="119"/>
      <c r="B5" s="72"/>
      <c r="C5" s="72"/>
      <c r="D5" s="72"/>
      <c r="E5" s="72"/>
      <c r="F5" s="72"/>
      <c r="G5" s="72"/>
      <c r="H5" s="72"/>
      <c r="I5" s="121"/>
    </row>
    <row r="6" spans="1:9" ht="14.4" x14ac:dyDescent="0.3">
      <c r="A6" s="110" t="s">
        <v>7</v>
      </c>
      <c r="B6" s="72"/>
      <c r="C6" s="71" t="str">
        <f>'Stavební rozpočet'!C6</f>
        <v>Frýdek-Místek</v>
      </c>
      <c r="D6" s="72"/>
      <c r="E6" s="71" t="s">
        <v>8</v>
      </c>
      <c r="F6" s="71" t="str">
        <f>'Stavební rozpočet'!I6</f>
        <v>Dle výběru investora</v>
      </c>
      <c r="G6" s="72"/>
      <c r="H6" s="71" t="s">
        <v>3</v>
      </c>
      <c r="I6" s="121" t="s">
        <v>4</v>
      </c>
    </row>
    <row r="7" spans="1:9" ht="15" customHeight="1" x14ac:dyDescent="0.3">
      <c r="A7" s="119"/>
      <c r="B7" s="72"/>
      <c r="C7" s="72"/>
      <c r="D7" s="72"/>
      <c r="E7" s="72"/>
      <c r="F7" s="72"/>
      <c r="G7" s="72"/>
      <c r="H7" s="72"/>
      <c r="I7" s="121"/>
    </row>
    <row r="8" spans="1:9" ht="14.4" x14ac:dyDescent="0.3">
      <c r="A8" s="110" t="s">
        <v>9</v>
      </c>
      <c r="B8" s="72"/>
      <c r="C8" s="71">
        <f>'Stavební rozpočet'!G4</f>
        <v>0</v>
      </c>
      <c r="D8" s="72"/>
      <c r="E8" s="71" t="s">
        <v>10</v>
      </c>
      <c r="F8" s="71" t="str">
        <f>'Stavební rozpočet'!G6</f>
        <v xml:space="preserve"> </v>
      </c>
      <c r="G8" s="72"/>
      <c r="H8" s="72" t="s">
        <v>11</v>
      </c>
      <c r="I8" s="122">
        <v>47</v>
      </c>
    </row>
    <row r="9" spans="1:9" ht="14.4" x14ac:dyDescent="0.3">
      <c r="A9" s="119"/>
      <c r="B9" s="72"/>
      <c r="C9" s="72"/>
      <c r="D9" s="72"/>
      <c r="E9" s="72"/>
      <c r="F9" s="72"/>
      <c r="G9" s="72"/>
      <c r="H9" s="72"/>
      <c r="I9" s="121"/>
    </row>
    <row r="10" spans="1:9" ht="14.4" x14ac:dyDescent="0.3">
      <c r="A10" s="110" t="s">
        <v>12</v>
      </c>
      <c r="B10" s="72"/>
      <c r="C10" s="71" t="str">
        <f>'Stavební rozpočet'!C8</f>
        <v>8152239</v>
      </c>
      <c r="D10" s="72"/>
      <c r="E10" s="71" t="s">
        <v>13</v>
      </c>
      <c r="F10" s="71" t="str">
        <f>'Stavební rozpočet'!I8</f>
        <v>Ing.Lucie Szöke</v>
      </c>
      <c r="G10" s="72"/>
      <c r="H10" s="72" t="s">
        <v>14</v>
      </c>
      <c r="I10" s="103" t="str">
        <f>'Stavební rozpočet'!G8</f>
        <v>13.06.2024</v>
      </c>
    </row>
    <row r="11" spans="1:9" ht="14.4" x14ac:dyDescent="0.3">
      <c r="A11" s="111"/>
      <c r="B11" s="108"/>
      <c r="C11" s="108"/>
      <c r="D11" s="108"/>
      <c r="E11" s="108"/>
      <c r="F11" s="108"/>
      <c r="G11" s="108"/>
      <c r="H11" s="108"/>
      <c r="I11" s="104"/>
    </row>
    <row r="12" spans="1:9" ht="22.8" x14ac:dyDescent="0.3">
      <c r="A12" s="105" t="s">
        <v>15</v>
      </c>
      <c r="B12" s="105"/>
      <c r="C12" s="105"/>
      <c r="D12" s="105"/>
      <c r="E12" s="105"/>
      <c r="F12" s="105"/>
      <c r="G12" s="105"/>
      <c r="H12" s="105"/>
      <c r="I12" s="105"/>
    </row>
    <row r="13" spans="1:9" ht="26.25" customHeight="1" x14ac:dyDescent="0.3">
      <c r="A13" s="3" t="s">
        <v>16</v>
      </c>
      <c r="B13" s="106" t="s">
        <v>17</v>
      </c>
      <c r="C13" s="107"/>
      <c r="D13" s="4" t="s">
        <v>18</v>
      </c>
      <c r="E13" s="106" t="s">
        <v>19</v>
      </c>
      <c r="F13" s="107"/>
      <c r="G13" s="4" t="s">
        <v>20</v>
      </c>
      <c r="H13" s="106" t="s">
        <v>21</v>
      </c>
      <c r="I13" s="107"/>
    </row>
    <row r="14" spans="1:9" ht="15.6" x14ac:dyDescent="0.3">
      <c r="A14" s="5" t="s">
        <v>22</v>
      </c>
      <c r="B14" s="6" t="s">
        <v>23</v>
      </c>
      <c r="C14" s="7">
        <f>SUM('Stavební rozpočet'!AB12:AB170)</f>
        <v>0</v>
      </c>
      <c r="D14" s="93" t="s">
        <v>24</v>
      </c>
      <c r="E14" s="94"/>
      <c r="F14" s="7">
        <f>VORN!I15</f>
        <v>0</v>
      </c>
      <c r="G14" s="93" t="s">
        <v>25</v>
      </c>
      <c r="H14" s="94"/>
      <c r="I14" s="8">
        <f>VORN!I21</f>
        <v>0</v>
      </c>
    </row>
    <row r="15" spans="1:9" ht="15.6" x14ac:dyDescent="0.3">
      <c r="A15" s="9" t="s">
        <v>4</v>
      </c>
      <c r="B15" s="6" t="s">
        <v>26</v>
      </c>
      <c r="C15" s="7">
        <f>SUM('Stavební rozpočet'!AC12:AC170)</f>
        <v>0</v>
      </c>
      <c r="D15" s="93" t="s">
        <v>27</v>
      </c>
      <c r="E15" s="94"/>
      <c r="F15" s="7">
        <f>VORN!I16</f>
        <v>0</v>
      </c>
      <c r="G15" s="93" t="s">
        <v>28</v>
      </c>
      <c r="H15" s="94"/>
      <c r="I15" s="8">
        <f>VORN!I22</f>
        <v>0</v>
      </c>
    </row>
    <row r="16" spans="1:9" ht="15.6" x14ac:dyDescent="0.3">
      <c r="A16" s="5" t="s">
        <v>29</v>
      </c>
      <c r="B16" s="6" t="s">
        <v>23</v>
      </c>
      <c r="C16" s="7">
        <f>SUM('Stavební rozpočet'!AD12:AD170)</f>
        <v>0</v>
      </c>
      <c r="D16" s="93" t="s">
        <v>30</v>
      </c>
      <c r="E16" s="94"/>
      <c r="F16" s="7">
        <f>VORN!I17</f>
        <v>0</v>
      </c>
      <c r="G16" s="93" t="s">
        <v>31</v>
      </c>
      <c r="H16" s="94"/>
      <c r="I16" s="8">
        <f>VORN!I23</f>
        <v>0</v>
      </c>
    </row>
    <row r="17" spans="1:9" ht="15.6" x14ac:dyDescent="0.3">
      <c r="A17" s="9" t="s">
        <v>4</v>
      </c>
      <c r="B17" s="6" t="s">
        <v>26</v>
      </c>
      <c r="C17" s="7">
        <f>SUM('Stavební rozpočet'!AE12:AE170)</f>
        <v>0</v>
      </c>
      <c r="D17" s="93" t="s">
        <v>4</v>
      </c>
      <c r="E17" s="94"/>
      <c r="F17" s="8" t="s">
        <v>4</v>
      </c>
      <c r="G17" s="93" t="s">
        <v>32</v>
      </c>
      <c r="H17" s="94"/>
      <c r="I17" s="8">
        <f>VORN!I24</f>
        <v>0</v>
      </c>
    </row>
    <row r="18" spans="1:9" ht="15.6" x14ac:dyDescent="0.3">
      <c r="A18" s="5" t="s">
        <v>33</v>
      </c>
      <c r="B18" s="6" t="s">
        <v>23</v>
      </c>
      <c r="C18" s="7">
        <f>SUM('Stavební rozpočet'!AF12:AF170)</f>
        <v>0</v>
      </c>
      <c r="D18" s="93" t="s">
        <v>4</v>
      </c>
      <c r="E18" s="94"/>
      <c r="F18" s="8" t="s">
        <v>4</v>
      </c>
      <c r="G18" s="93" t="s">
        <v>34</v>
      </c>
      <c r="H18" s="94"/>
      <c r="I18" s="8">
        <f>VORN!I25</f>
        <v>0</v>
      </c>
    </row>
    <row r="19" spans="1:9" ht="15.6" x14ac:dyDescent="0.3">
      <c r="A19" s="9" t="s">
        <v>4</v>
      </c>
      <c r="B19" s="6" t="s">
        <v>26</v>
      </c>
      <c r="C19" s="7">
        <f>SUM('Stavební rozpočet'!AG12:AG170)</f>
        <v>0</v>
      </c>
      <c r="D19" s="93" t="s">
        <v>4</v>
      </c>
      <c r="E19" s="94"/>
      <c r="F19" s="8" t="s">
        <v>4</v>
      </c>
      <c r="G19" s="93" t="s">
        <v>35</v>
      </c>
      <c r="H19" s="94"/>
      <c r="I19" s="8">
        <f>VORN!I26</f>
        <v>0</v>
      </c>
    </row>
    <row r="20" spans="1:9" ht="15.6" x14ac:dyDescent="0.3">
      <c r="A20" s="85" t="s">
        <v>36</v>
      </c>
      <c r="B20" s="86"/>
      <c r="C20" s="7">
        <f>SUM('Stavební rozpočet'!AH12:AH170)</f>
        <v>0</v>
      </c>
      <c r="D20" s="93" t="s">
        <v>4</v>
      </c>
      <c r="E20" s="94"/>
      <c r="F20" s="8" t="s">
        <v>4</v>
      </c>
      <c r="G20" s="93" t="s">
        <v>4</v>
      </c>
      <c r="H20" s="94"/>
      <c r="I20" s="8" t="s">
        <v>4</v>
      </c>
    </row>
    <row r="21" spans="1:9" ht="15.6" x14ac:dyDescent="0.3">
      <c r="A21" s="100" t="s">
        <v>37</v>
      </c>
      <c r="B21" s="101"/>
      <c r="C21" s="10">
        <f>SUM('Stavební rozpočet'!Z12:Z170)</f>
        <v>0</v>
      </c>
      <c r="D21" s="95" t="s">
        <v>4</v>
      </c>
      <c r="E21" s="96"/>
      <c r="F21" s="11" t="s">
        <v>4</v>
      </c>
      <c r="G21" s="95" t="s">
        <v>4</v>
      </c>
      <c r="H21" s="96"/>
      <c r="I21" s="11" t="s">
        <v>4</v>
      </c>
    </row>
    <row r="22" spans="1:9" ht="16.5" customHeight="1" x14ac:dyDescent="0.3">
      <c r="A22" s="102" t="s">
        <v>38</v>
      </c>
      <c r="B22" s="98"/>
      <c r="C22" s="12">
        <f>SUM(C14:C21)</f>
        <v>0</v>
      </c>
      <c r="D22" s="97" t="s">
        <v>39</v>
      </c>
      <c r="E22" s="98"/>
      <c r="F22" s="12">
        <f>SUM(F14:F21)</f>
        <v>0</v>
      </c>
      <c r="G22" s="97" t="s">
        <v>40</v>
      </c>
      <c r="H22" s="98"/>
      <c r="I22" s="12">
        <f>SUM(I14:I21)</f>
        <v>0</v>
      </c>
    </row>
    <row r="23" spans="1:9" ht="15.6" x14ac:dyDescent="0.3">
      <c r="D23" s="85" t="s">
        <v>41</v>
      </c>
      <c r="E23" s="86"/>
      <c r="F23" s="13">
        <v>0</v>
      </c>
      <c r="G23" s="99" t="s">
        <v>42</v>
      </c>
      <c r="H23" s="86"/>
      <c r="I23" s="7">
        <v>0</v>
      </c>
    </row>
    <row r="24" spans="1:9" ht="15.6" x14ac:dyDescent="0.3">
      <c r="G24" s="85" t="s">
        <v>43</v>
      </c>
      <c r="H24" s="86"/>
      <c r="I24" s="10">
        <f>vorn_sum</f>
        <v>0</v>
      </c>
    </row>
    <row r="25" spans="1:9" ht="15.6" x14ac:dyDescent="0.3">
      <c r="G25" s="85" t="s">
        <v>44</v>
      </c>
      <c r="H25" s="86"/>
      <c r="I25" s="12">
        <v>0</v>
      </c>
    </row>
    <row r="27" spans="1:9" ht="15.6" x14ac:dyDescent="0.3">
      <c r="A27" s="87" t="s">
        <v>45</v>
      </c>
      <c r="B27" s="88"/>
      <c r="C27" s="14">
        <f>SUM('Stavební rozpočet'!AJ12:AJ170)</f>
        <v>0</v>
      </c>
    </row>
    <row r="28" spans="1:9" ht="15.6" x14ac:dyDescent="0.3">
      <c r="A28" s="89" t="s">
        <v>46</v>
      </c>
      <c r="B28" s="90"/>
      <c r="C28" s="15">
        <f>SUM('Stavební rozpočet'!AK12:AK170)</f>
        <v>0</v>
      </c>
      <c r="D28" s="91" t="s">
        <v>47</v>
      </c>
      <c r="E28" s="88"/>
      <c r="F28" s="14">
        <f>ROUND(C28*(12/100),2)</f>
        <v>0</v>
      </c>
      <c r="G28" s="91" t="s">
        <v>48</v>
      </c>
      <c r="H28" s="88"/>
      <c r="I28" s="14">
        <f>SUM(C27:C29)</f>
        <v>0</v>
      </c>
    </row>
    <row r="29" spans="1:9" ht="15.6" x14ac:dyDescent="0.3">
      <c r="A29" s="89" t="s">
        <v>49</v>
      </c>
      <c r="B29" s="90"/>
      <c r="C29" s="15">
        <f>SUM('Stavební rozpočet'!AL12:AL170)</f>
        <v>0</v>
      </c>
      <c r="D29" s="92" t="s">
        <v>50</v>
      </c>
      <c r="E29" s="90"/>
      <c r="F29" s="15">
        <f>ROUND(C29*(21/100),2)</f>
        <v>0</v>
      </c>
      <c r="G29" s="92" t="s">
        <v>51</v>
      </c>
      <c r="H29" s="90"/>
      <c r="I29" s="15">
        <f>SUM(F28:F29)+I28</f>
        <v>0</v>
      </c>
    </row>
    <row r="31" spans="1:9" x14ac:dyDescent="0.3">
      <c r="A31" s="82" t="s">
        <v>52</v>
      </c>
      <c r="B31" s="74"/>
      <c r="C31" s="75"/>
      <c r="D31" s="73" t="s">
        <v>53</v>
      </c>
      <c r="E31" s="74"/>
      <c r="F31" s="75"/>
      <c r="G31" s="73" t="s">
        <v>54</v>
      </c>
      <c r="H31" s="74"/>
      <c r="I31" s="75"/>
    </row>
    <row r="32" spans="1:9" x14ac:dyDescent="0.3">
      <c r="A32" s="83" t="s">
        <v>4</v>
      </c>
      <c r="B32" s="77"/>
      <c r="C32" s="78"/>
      <c r="D32" s="76" t="s">
        <v>4</v>
      </c>
      <c r="E32" s="77"/>
      <c r="F32" s="78"/>
      <c r="G32" s="76" t="s">
        <v>4</v>
      </c>
      <c r="H32" s="77"/>
      <c r="I32" s="78"/>
    </row>
    <row r="33" spans="1:9" x14ac:dyDescent="0.3">
      <c r="A33" s="83" t="s">
        <v>4</v>
      </c>
      <c r="B33" s="77"/>
      <c r="C33" s="78"/>
      <c r="D33" s="76" t="s">
        <v>4</v>
      </c>
      <c r="E33" s="77"/>
      <c r="F33" s="78"/>
      <c r="G33" s="76" t="s">
        <v>4</v>
      </c>
      <c r="H33" s="77"/>
      <c r="I33" s="78"/>
    </row>
    <row r="34" spans="1:9" x14ac:dyDescent="0.3">
      <c r="A34" s="83" t="s">
        <v>4</v>
      </c>
      <c r="B34" s="77"/>
      <c r="C34" s="78"/>
      <c r="D34" s="76" t="s">
        <v>4</v>
      </c>
      <c r="E34" s="77"/>
      <c r="F34" s="78"/>
      <c r="G34" s="76" t="s">
        <v>4</v>
      </c>
      <c r="H34" s="77"/>
      <c r="I34" s="78"/>
    </row>
    <row r="35" spans="1:9" x14ac:dyDescent="0.3">
      <c r="A35" s="84" t="s">
        <v>55</v>
      </c>
      <c r="B35" s="80"/>
      <c r="C35" s="81"/>
      <c r="D35" s="79" t="s">
        <v>55</v>
      </c>
      <c r="E35" s="80"/>
      <c r="F35" s="81"/>
      <c r="G35" s="79" t="s">
        <v>55</v>
      </c>
      <c r="H35" s="80"/>
      <c r="I35" s="81"/>
    </row>
    <row r="36" spans="1:9" ht="14.4" x14ac:dyDescent="0.3">
      <c r="A36" s="16" t="s">
        <v>56</v>
      </c>
    </row>
    <row r="37" spans="1:9" ht="63.75" customHeight="1" x14ac:dyDescent="0.3">
      <c r="A37" s="71" t="s">
        <v>57</v>
      </c>
      <c r="B37" s="72"/>
      <c r="C37" s="72"/>
      <c r="D37" s="72"/>
      <c r="E37" s="72"/>
      <c r="F37" s="72"/>
      <c r="G37" s="72"/>
      <c r="H37" s="72"/>
      <c r="I37" s="72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"/>
  <sheetViews>
    <sheetView workbookViewId="0">
      <selection activeCell="A45" sqref="A45:E45"/>
    </sheetView>
  </sheetViews>
  <sheetFormatPr defaultColWidth="12.109375" defaultRowHeight="15" customHeight="1" x14ac:dyDescent="0.3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7.109375" customWidth="1"/>
    <col min="9" max="9" width="22.88671875" customWidth="1"/>
  </cols>
  <sheetData>
    <row r="1" spans="1:9" ht="54.75" customHeight="1" x14ac:dyDescent="0.3">
      <c r="A1" s="115" t="s">
        <v>58</v>
      </c>
      <c r="B1" s="116"/>
      <c r="C1" s="116"/>
      <c r="D1" s="116"/>
      <c r="E1" s="116"/>
      <c r="F1" s="116"/>
      <c r="G1" s="116"/>
      <c r="H1" s="116"/>
      <c r="I1" s="116"/>
    </row>
    <row r="2" spans="1:9" ht="14.4" x14ac:dyDescent="0.3">
      <c r="A2" s="117" t="s">
        <v>1</v>
      </c>
      <c r="B2" s="118"/>
      <c r="C2" s="112" t="str">
        <f>'Stavební rozpočet'!C2</f>
        <v>Oprava oplocení parc.č. 706/43, k.ú. Frýdek</v>
      </c>
      <c r="D2" s="113"/>
      <c r="E2" s="109" t="s">
        <v>2</v>
      </c>
      <c r="F2" s="109" t="str">
        <f>'Stavební rozpočet'!I2</f>
        <v>Statutární město Frýdek-Místek</v>
      </c>
      <c r="G2" s="118"/>
      <c r="H2" s="109" t="s">
        <v>3</v>
      </c>
      <c r="I2" s="120" t="s">
        <v>4</v>
      </c>
    </row>
    <row r="3" spans="1:9" ht="15" customHeight="1" x14ac:dyDescent="0.3">
      <c r="A3" s="119"/>
      <c r="B3" s="72"/>
      <c r="C3" s="114"/>
      <c r="D3" s="114"/>
      <c r="E3" s="72"/>
      <c r="F3" s="72"/>
      <c r="G3" s="72"/>
      <c r="H3" s="72"/>
      <c r="I3" s="121"/>
    </row>
    <row r="4" spans="1:9" ht="14.4" x14ac:dyDescent="0.3">
      <c r="A4" s="110" t="s">
        <v>5</v>
      </c>
      <c r="B4" s="72"/>
      <c r="C4" s="71" t="str">
        <f>'Stavební rozpočet'!C4</f>
        <v>Oplocení pozemku</v>
      </c>
      <c r="D4" s="72"/>
      <c r="E4" s="71" t="s">
        <v>6</v>
      </c>
      <c r="F4" s="71" t="str">
        <f>'Stavební rozpočet'!I4</f>
        <v>Constructus s.r.o</v>
      </c>
      <c r="G4" s="72"/>
      <c r="H4" s="71" t="s">
        <v>3</v>
      </c>
      <c r="I4" s="121" t="s">
        <v>4</v>
      </c>
    </row>
    <row r="5" spans="1:9" ht="15" customHeight="1" x14ac:dyDescent="0.3">
      <c r="A5" s="119"/>
      <c r="B5" s="72"/>
      <c r="C5" s="72"/>
      <c r="D5" s="72"/>
      <c r="E5" s="72"/>
      <c r="F5" s="72"/>
      <c r="G5" s="72"/>
      <c r="H5" s="72"/>
      <c r="I5" s="121"/>
    </row>
    <row r="6" spans="1:9" ht="14.4" x14ac:dyDescent="0.3">
      <c r="A6" s="110" t="s">
        <v>7</v>
      </c>
      <c r="B6" s="72"/>
      <c r="C6" s="71" t="str">
        <f>'Stavební rozpočet'!C6</f>
        <v>Frýdek-Místek</v>
      </c>
      <c r="D6" s="72"/>
      <c r="E6" s="71" t="s">
        <v>8</v>
      </c>
      <c r="F6" s="71" t="str">
        <f>'Stavební rozpočet'!I6</f>
        <v>Dle výběru investora</v>
      </c>
      <c r="G6" s="72"/>
      <c r="H6" s="71" t="s">
        <v>3</v>
      </c>
      <c r="I6" s="121" t="s">
        <v>4</v>
      </c>
    </row>
    <row r="7" spans="1:9" ht="15" customHeight="1" x14ac:dyDescent="0.3">
      <c r="A7" s="119"/>
      <c r="B7" s="72"/>
      <c r="C7" s="72"/>
      <c r="D7" s="72"/>
      <c r="E7" s="72"/>
      <c r="F7" s="72"/>
      <c r="G7" s="72"/>
      <c r="H7" s="72"/>
      <c r="I7" s="121"/>
    </row>
    <row r="8" spans="1:9" ht="14.4" x14ac:dyDescent="0.3">
      <c r="A8" s="110" t="s">
        <v>9</v>
      </c>
      <c r="B8" s="72"/>
      <c r="C8" s="71">
        <f>'Stavební rozpočet'!G4</f>
        <v>0</v>
      </c>
      <c r="D8" s="72"/>
      <c r="E8" s="71" t="s">
        <v>10</v>
      </c>
      <c r="F8" s="71" t="str">
        <f>'Stavební rozpočet'!G6</f>
        <v xml:space="preserve"> </v>
      </c>
      <c r="G8" s="72"/>
      <c r="H8" s="72" t="s">
        <v>11</v>
      </c>
      <c r="I8" s="122">
        <v>47</v>
      </c>
    </row>
    <row r="9" spans="1:9" ht="14.4" x14ac:dyDescent="0.3">
      <c r="A9" s="119"/>
      <c r="B9" s="72"/>
      <c r="C9" s="72"/>
      <c r="D9" s="72"/>
      <c r="E9" s="72"/>
      <c r="F9" s="72"/>
      <c r="G9" s="72"/>
      <c r="H9" s="72"/>
      <c r="I9" s="121"/>
    </row>
    <row r="10" spans="1:9" ht="14.4" x14ac:dyDescent="0.3">
      <c r="A10" s="110" t="s">
        <v>12</v>
      </c>
      <c r="B10" s="72"/>
      <c r="C10" s="71" t="str">
        <f>'Stavební rozpočet'!C8</f>
        <v>8152239</v>
      </c>
      <c r="D10" s="72"/>
      <c r="E10" s="71" t="s">
        <v>13</v>
      </c>
      <c r="F10" s="71" t="str">
        <f>'Stavební rozpočet'!I8</f>
        <v>Ing.Lucie Szöke</v>
      </c>
      <c r="G10" s="72"/>
      <c r="H10" s="72" t="s">
        <v>14</v>
      </c>
      <c r="I10" s="103" t="str">
        <f>'Stavební rozpočet'!G8</f>
        <v>13.06.2024</v>
      </c>
    </row>
    <row r="11" spans="1:9" ht="14.4" x14ac:dyDescent="0.3">
      <c r="A11" s="111"/>
      <c r="B11" s="108"/>
      <c r="C11" s="108"/>
      <c r="D11" s="108"/>
      <c r="E11" s="108"/>
      <c r="F11" s="108"/>
      <c r="G11" s="108"/>
      <c r="H11" s="108"/>
      <c r="I11" s="104"/>
    </row>
    <row r="13" spans="1:9" ht="15.6" x14ac:dyDescent="0.3">
      <c r="A13" s="138" t="s">
        <v>59</v>
      </c>
      <c r="B13" s="138"/>
      <c r="C13" s="138"/>
      <c r="D13" s="138"/>
      <c r="E13" s="138"/>
    </row>
    <row r="14" spans="1:9" ht="14.4" x14ac:dyDescent="0.3">
      <c r="A14" s="139" t="s">
        <v>60</v>
      </c>
      <c r="B14" s="140"/>
      <c r="C14" s="140"/>
      <c r="D14" s="140"/>
      <c r="E14" s="141"/>
      <c r="F14" s="17" t="s">
        <v>61</v>
      </c>
      <c r="G14" s="17" t="s">
        <v>62</v>
      </c>
      <c r="H14" s="17" t="s">
        <v>63</v>
      </c>
      <c r="I14" s="17" t="s">
        <v>61</v>
      </c>
    </row>
    <row r="15" spans="1:9" ht="14.4" x14ac:dyDescent="0.3">
      <c r="A15" s="123" t="s">
        <v>24</v>
      </c>
      <c r="B15" s="124"/>
      <c r="C15" s="124"/>
      <c r="D15" s="124"/>
      <c r="E15" s="125"/>
      <c r="F15" s="18">
        <v>0</v>
      </c>
      <c r="G15" s="19" t="s">
        <v>4</v>
      </c>
      <c r="H15" s="19" t="s">
        <v>4</v>
      </c>
      <c r="I15" s="18">
        <f>F15</f>
        <v>0</v>
      </c>
    </row>
    <row r="16" spans="1:9" ht="14.4" x14ac:dyDescent="0.3">
      <c r="A16" s="123" t="s">
        <v>27</v>
      </c>
      <c r="B16" s="124"/>
      <c r="C16" s="124"/>
      <c r="D16" s="124"/>
      <c r="E16" s="125"/>
      <c r="F16" s="18">
        <v>0</v>
      </c>
      <c r="G16" s="19" t="s">
        <v>4</v>
      </c>
      <c r="H16" s="19" t="s">
        <v>4</v>
      </c>
      <c r="I16" s="18">
        <f>F16</f>
        <v>0</v>
      </c>
    </row>
    <row r="17" spans="1:9" ht="14.4" x14ac:dyDescent="0.3">
      <c r="A17" s="126" t="s">
        <v>30</v>
      </c>
      <c r="B17" s="127"/>
      <c r="C17" s="127"/>
      <c r="D17" s="127"/>
      <c r="E17" s="128"/>
      <c r="F17" s="20">
        <v>0</v>
      </c>
      <c r="G17" s="21" t="s">
        <v>4</v>
      </c>
      <c r="H17" s="21" t="s">
        <v>4</v>
      </c>
      <c r="I17" s="20">
        <f>F17</f>
        <v>0</v>
      </c>
    </row>
    <row r="18" spans="1:9" ht="14.4" x14ac:dyDescent="0.3">
      <c r="A18" s="129" t="s">
        <v>64</v>
      </c>
      <c r="B18" s="130"/>
      <c r="C18" s="130"/>
      <c r="D18" s="130"/>
      <c r="E18" s="131"/>
      <c r="F18" s="22" t="s">
        <v>4</v>
      </c>
      <c r="G18" s="23" t="s">
        <v>4</v>
      </c>
      <c r="H18" s="23" t="s">
        <v>4</v>
      </c>
      <c r="I18" s="24">
        <f>SUM(I15:I17)</f>
        <v>0</v>
      </c>
    </row>
    <row r="20" spans="1:9" ht="14.4" x14ac:dyDescent="0.3">
      <c r="A20" s="139" t="s">
        <v>21</v>
      </c>
      <c r="B20" s="140"/>
      <c r="C20" s="140"/>
      <c r="D20" s="140"/>
      <c r="E20" s="141"/>
      <c r="F20" s="17" t="s">
        <v>61</v>
      </c>
      <c r="G20" s="17" t="s">
        <v>62</v>
      </c>
      <c r="H20" s="17" t="s">
        <v>63</v>
      </c>
      <c r="I20" s="17" t="s">
        <v>61</v>
      </c>
    </row>
    <row r="21" spans="1:9" ht="14.4" x14ac:dyDescent="0.3">
      <c r="A21" s="123" t="s">
        <v>25</v>
      </c>
      <c r="B21" s="124"/>
      <c r="C21" s="124"/>
      <c r="D21" s="124"/>
      <c r="E21" s="125"/>
      <c r="F21" s="18">
        <v>0</v>
      </c>
      <c r="G21" s="19" t="s">
        <v>4</v>
      </c>
      <c r="H21" s="19" t="s">
        <v>4</v>
      </c>
      <c r="I21" s="18">
        <f t="shared" ref="I21:I26" si="0">F21</f>
        <v>0</v>
      </c>
    </row>
    <row r="22" spans="1:9" ht="14.4" x14ac:dyDescent="0.3">
      <c r="A22" s="123" t="s">
        <v>28</v>
      </c>
      <c r="B22" s="124"/>
      <c r="C22" s="124"/>
      <c r="D22" s="124"/>
      <c r="E22" s="125"/>
      <c r="F22" s="18">
        <v>0</v>
      </c>
      <c r="G22" s="19" t="s">
        <v>4</v>
      </c>
      <c r="H22" s="19" t="s">
        <v>4</v>
      </c>
      <c r="I22" s="18">
        <f t="shared" si="0"/>
        <v>0</v>
      </c>
    </row>
    <row r="23" spans="1:9" ht="14.4" x14ac:dyDescent="0.3">
      <c r="A23" s="123" t="s">
        <v>31</v>
      </c>
      <c r="B23" s="124"/>
      <c r="C23" s="124"/>
      <c r="D23" s="124"/>
      <c r="E23" s="125"/>
      <c r="F23" s="18">
        <v>0</v>
      </c>
      <c r="G23" s="19" t="s">
        <v>4</v>
      </c>
      <c r="H23" s="19" t="s">
        <v>4</v>
      </c>
      <c r="I23" s="18">
        <f t="shared" si="0"/>
        <v>0</v>
      </c>
    </row>
    <row r="24" spans="1:9" ht="14.4" x14ac:dyDescent="0.3">
      <c r="A24" s="123" t="s">
        <v>32</v>
      </c>
      <c r="B24" s="124"/>
      <c r="C24" s="124"/>
      <c r="D24" s="124"/>
      <c r="E24" s="125"/>
      <c r="F24" s="18">
        <v>0</v>
      </c>
      <c r="G24" s="19" t="s">
        <v>4</v>
      </c>
      <c r="H24" s="19" t="s">
        <v>4</v>
      </c>
      <c r="I24" s="18">
        <f t="shared" si="0"/>
        <v>0</v>
      </c>
    </row>
    <row r="25" spans="1:9" ht="14.4" x14ac:dyDescent="0.3">
      <c r="A25" s="123" t="s">
        <v>34</v>
      </c>
      <c r="B25" s="124"/>
      <c r="C25" s="124"/>
      <c r="D25" s="124"/>
      <c r="E25" s="125"/>
      <c r="F25" s="18">
        <v>0</v>
      </c>
      <c r="G25" s="19" t="s">
        <v>4</v>
      </c>
      <c r="H25" s="19" t="s">
        <v>4</v>
      </c>
      <c r="I25" s="18">
        <f t="shared" si="0"/>
        <v>0</v>
      </c>
    </row>
    <row r="26" spans="1:9" ht="14.4" x14ac:dyDescent="0.3">
      <c r="A26" s="126" t="s">
        <v>35</v>
      </c>
      <c r="B26" s="127"/>
      <c r="C26" s="127"/>
      <c r="D26" s="127"/>
      <c r="E26" s="128"/>
      <c r="F26" s="20">
        <v>0</v>
      </c>
      <c r="G26" s="21" t="s">
        <v>4</v>
      </c>
      <c r="H26" s="21" t="s">
        <v>4</v>
      </c>
      <c r="I26" s="20">
        <f t="shared" si="0"/>
        <v>0</v>
      </c>
    </row>
    <row r="27" spans="1:9" ht="14.4" x14ac:dyDescent="0.3">
      <c r="A27" s="129" t="s">
        <v>65</v>
      </c>
      <c r="B27" s="130"/>
      <c r="C27" s="130"/>
      <c r="D27" s="130"/>
      <c r="E27" s="131"/>
      <c r="F27" s="22" t="s">
        <v>4</v>
      </c>
      <c r="G27" s="23" t="s">
        <v>4</v>
      </c>
      <c r="H27" s="23" t="s">
        <v>4</v>
      </c>
      <c r="I27" s="24">
        <f>SUM(I21:I26)</f>
        <v>0</v>
      </c>
    </row>
    <row r="29" spans="1:9" ht="15.6" x14ac:dyDescent="0.3">
      <c r="A29" s="132" t="s">
        <v>66</v>
      </c>
      <c r="B29" s="133"/>
      <c r="C29" s="133"/>
      <c r="D29" s="133"/>
      <c r="E29" s="134"/>
      <c r="F29" s="135">
        <f>I18+I27</f>
        <v>0</v>
      </c>
      <c r="G29" s="136"/>
      <c r="H29" s="136"/>
      <c r="I29" s="137"/>
    </row>
    <row r="33" spans="1:9" ht="15.6" x14ac:dyDescent="0.3">
      <c r="A33" s="138" t="s">
        <v>67</v>
      </c>
      <c r="B33" s="138"/>
      <c r="C33" s="138"/>
      <c r="D33" s="138"/>
      <c r="E33" s="138"/>
    </row>
    <row r="34" spans="1:9" ht="14.4" x14ac:dyDescent="0.3">
      <c r="A34" s="139" t="s">
        <v>68</v>
      </c>
      <c r="B34" s="140"/>
      <c r="C34" s="140"/>
      <c r="D34" s="140"/>
      <c r="E34" s="141"/>
      <c r="F34" s="17" t="s">
        <v>61</v>
      </c>
      <c r="G34" s="17" t="s">
        <v>62</v>
      </c>
      <c r="H34" s="17" t="s">
        <v>63</v>
      </c>
      <c r="I34" s="17" t="s">
        <v>61</v>
      </c>
    </row>
    <row r="35" spans="1:9" ht="14.4" x14ac:dyDescent="0.3">
      <c r="A35" s="123" t="s">
        <v>69</v>
      </c>
      <c r="B35" s="124"/>
      <c r="C35" s="124"/>
      <c r="D35" s="124"/>
      <c r="E35" s="125"/>
      <c r="F35" s="18">
        <f>SUM('Stavební rozpočet'!BM12:BM170)</f>
        <v>0</v>
      </c>
      <c r="G35" s="19" t="s">
        <v>4</v>
      </c>
      <c r="H35" s="19" t="s">
        <v>4</v>
      </c>
      <c r="I35" s="18">
        <f t="shared" ref="I35:I44" si="1">F35</f>
        <v>0</v>
      </c>
    </row>
    <row r="36" spans="1:9" ht="14.4" x14ac:dyDescent="0.3">
      <c r="A36" s="123" t="s">
        <v>70</v>
      </c>
      <c r="B36" s="124"/>
      <c r="C36" s="124"/>
      <c r="D36" s="124"/>
      <c r="E36" s="125"/>
      <c r="F36" s="18">
        <f>SUM('Stavební rozpočet'!BN12:BN170)</f>
        <v>0</v>
      </c>
      <c r="G36" s="19" t="s">
        <v>4</v>
      </c>
      <c r="H36" s="19" t="s">
        <v>4</v>
      </c>
      <c r="I36" s="18">
        <f t="shared" si="1"/>
        <v>0</v>
      </c>
    </row>
    <row r="37" spans="1:9" ht="14.4" x14ac:dyDescent="0.3">
      <c r="A37" s="123" t="s">
        <v>25</v>
      </c>
      <c r="B37" s="124"/>
      <c r="C37" s="124"/>
      <c r="D37" s="124"/>
      <c r="E37" s="125"/>
      <c r="F37" s="18">
        <f>SUM('Stavební rozpočet'!BO12:BO170)</f>
        <v>0</v>
      </c>
      <c r="G37" s="19" t="s">
        <v>4</v>
      </c>
      <c r="H37" s="19" t="s">
        <v>4</v>
      </c>
      <c r="I37" s="18">
        <f t="shared" si="1"/>
        <v>0</v>
      </c>
    </row>
    <row r="38" spans="1:9" ht="14.4" x14ac:dyDescent="0.3">
      <c r="A38" s="123" t="s">
        <v>71</v>
      </c>
      <c r="B38" s="124"/>
      <c r="C38" s="124"/>
      <c r="D38" s="124"/>
      <c r="E38" s="125"/>
      <c r="F38" s="18">
        <f>SUM('Stavební rozpočet'!BP12:BP170)</f>
        <v>0</v>
      </c>
      <c r="G38" s="19" t="s">
        <v>4</v>
      </c>
      <c r="H38" s="19" t="s">
        <v>4</v>
      </c>
      <c r="I38" s="18">
        <f t="shared" si="1"/>
        <v>0</v>
      </c>
    </row>
    <row r="39" spans="1:9" ht="14.4" x14ac:dyDescent="0.3">
      <c r="A39" s="123" t="s">
        <v>72</v>
      </c>
      <c r="B39" s="124"/>
      <c r="C39" s="124"/>
      <c r="D39" s="124"/>
      <c r="E39" s="125"/>
      <c r="F39" s="18">
        <f>SUM('Stavební rozpočet'!BQ12:BQ170)</f>
        <v>0</v>
      </c>
      <c r="G39" s="19" t="s">
        <v>4</v>
      </c>
      <c r="H39" s="19" t="s">
        <v>4</v>
      </c>
      <c r="I39" s="18">
        <f t="shared" si="1"/>
        <v>0</v>
      </c>
    </row>
    <row r="40" spans="1:9" ht="14.4" x14ac:dyDescent="0.3">
      <c r="A40" s="123" t="s">
        <v>31</v>
      </c>
      <c r="B40" s="124"/>
      <c r="C40" s="124"/>
      <c r="D40" s="124"/>
      <c r="E40" s="125"/>
      <c r="F40" s="18">
        <f>SUM('Stavební rozpočet'!BR12:BR170)</f>
        <v>0</v>
      </c>
      <c r="G40" s="19" t="s">
        <v>4</v>
      </c>
      <c r="H40" s="19" t="s">
        <v>4</v>
      </c>
      <c r="I40" s="18">
        <f t="shared" si="1"/>
        <v>0</v>
      </c>
    </row>
    <row r="41" spans="1:9" ht="14.4" x14ac:dyDescent="0.3">
      <c r="A41" s="123" t="s">
        <v>32</v>
      </c>
      <c r="B41" s="124"/>
      <c r="C41" s="124"/>
      <c r="D41" s="124"/>
      <c r="E41" s="125"/>
      <c r="F41" s="18">
        <f>SUM('Stavební rozpočet'!BS12:BS170)</f>
        <v>0</v>
      </c>
      <c r="G41" s="19" t="s">
        <v>4</v>
      </c>
      <c r="H41" s="19" t="s">
        <v>4</v>
      </c>
      <c r="I41" s="18">
        <f t="shared" si="1"/>
        <v>0</v>
      </c>
    </row>
    <row r="42" spans="1:9" ht="14.4" x14ac:dyDescent="0.3">
      <c r="A42" s="123" t="s">
        <v>73</v>
      </c>
      <c r="B42" s="124"/>
      <c r="C42" s="124"/>
      <c r="D42" s="124"/>
      <c r="E42" s="125"/>
      <c r="F42" s="18">
        <f>SUM('Stavební rozpočet'!BT12:BT170)</f>
        <v>0</v>
      </c>
      <c r="G42" s="19" t="s">
        <v>4</v>
      </c>
      <c r="H42" s="19" t="s">
        <v>4</v>
      </c>
      <c r="I42" s="18">
        <f t="shared" si="1"/>
        <v>0</v>
      </c>
    </row>
    <row r="43" spans="1:9" ht="14.4" x14ac:dyDescent="0.3">
      <c r="A43" s="123" t="s">
        <v>74</v>
      </c>
      <c r="B43" s="124"/>
      <c r="C43" s="124"/>
      <c r="D43" s="124"/>
      <c r="E43" s="125"/>
      <c r="F43" s="18">
        <f>SUM('Stavební rozpočet'!BU12:BU170)</f>
        <v>0</v>
      </c>
      <c r="G43" s="19" t="s">
        <v>4</v>
      </c>
      <c r="H43" s="19" t="s">
        <v>4</v>
      </c>
      <c r="I43" s="18">
        <f t="shared" si="1"/>
        <v>0</v>
      </c>
    </row>
    <row r="44" spans="1:9" ht="14.4" x14ac:dyDescent="0.3">
      <c r="A44" s="126" t="s">
        <v>75</v>
      </c>
      <c r="B44" s="127"/>
      <c r="C44" s="127"/>
      <c r="D44" s="127"/>
      <c r="E44" s="128"/>
      <c r="F44" s="20">
        <f>SUM('Stavební rozpočet'!BV12:BV170)</f>
        <v>0</v>
      </c>
      <c r="G44" s="21" t="s">
        <v>4</v>
      </c>
      <c r="H44" s="21" t="s">
        <v>4</v>
      </c>
      <c r="I44" s="20">
        <f t="shared" si="1"/>
        <v>0</v>
      </c>
    </row>
    <row r="45" spans="1:9" ht="14.4" x14ac:dyDescent="0.3">
      <c r="A45" s="129" t="s">
        <v>76</v>
      </c>
      <c r="B45" s="130"/>
      <c r="C45" s="130"/>
      <c r="D45" s="130"/>
      <c r="E45" s="131"/>
      <c r="F45" s="22" t="s">
        <v>4</v>
      </c>
      <c r="G45" s="23" t="s">
        <v>4</v>
      </c>
      <c r="H45" s="23" t="s">
        <v>4</v>
      </c>
      <c r="I45" s="24">
        <f>SUM(I35:I44)</f>
        <v>0</v>
      </c>
    </row>
  </sheetData>
  <mergeCells count="60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393999993801117" right="0.393999993801117" top="0.59100002050399802" bottom="0.59100002050399802" header="0" footer="0"/>
  <pageSetup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Z173"/>
  <sheetViews>
    <sheetView tabSelected="1" workbookViewId="0">
      <pane ySplit="11" topLeftCell="A14" activePane="bottomLeft" state="frozen"/>
      <selection pane="bottomLeft" activeCell="D16" sqref="D16"/>
    </sheetView>
  </sheetViews>
  <sheetFormatPr defaultColWidth="12.109375" defaultRowHeight="14.4" x14ac:dyDescent="0.3"/>
  <cols>
    <col min="1" max="1" width="4" style="28" customWidth="1"/>
    <col min="2" max="2" width="17.88671875" style="28" customWidth="1"/>
    <col min="3" max="3" width="42.88671875" style="28" customWidth="1"/>
    <col min="4" max="4" width="35.6640625" style="28" customWidth="1"/>
    <col min="5" max="5" width="6.6640625" style="28" customWidth="1"/>
    <col min="6" max="6" width="12.88671875" style="28" customWidth="1"/>
    <col min="7" max="7" width="12" style="28" customWidth="1"/>
    <col min="8" max="9" width="15.6640625" style="28" hidden="1" customWidth="1"/>
    <col min="10" max="10" width="15.6640625" style="28" customWidth="1"/>
    <col min="11" max="11" width="13.44140625" style="28" customWidth="1"/>
    <col min="12" max="24" width="12.109375" style="28"/>
    <col min="25" max="75" width="12.109375" style="28" hidden="1"/>
    <col min="76" max="76" width="78.5546875" style="28" hidden="1" customWidth="1"/>
    <col min="77" max="78" width="12.109375" style="28" hidden="1"/>
    <col min="79" max="16384" width="12.109375" style="28"/>
  </cols>
  <sheetData>
    <row r="1" spans="1:76" ht="22.8" x14ac:dyDescent="0.3">
      <c r="A1" s="115" t="s">
        <v>77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AS1" s="29">
        <f>SUM(AJ1:AJ2)</f>
        <v>0</v>
      </c>
      <c r="AT1" s="29">
        <f>SUM(AK1:AK2)</f>
        <v>0</v>
      </c>
      <c r="AU1" s="29">
        <f>SUM(AL1:AL2)</f>
        <v>0</v>
      </c>
    </row>
    <row r="2" spans="1:76" x14ac:dyDescent="0.3">
      <c r="A2" s="117" t="s">
        <v>1</v>
      </c>
      <c r="B2" s="109"/>
      <c r="C2" s="112" t="s">
        <v>78</v>
      </c>
      <c r="D2" s="112"/>
      <c r="E2" s="109" t="s">
        <v>79</v>
      </c>
      <c r="F2" s="109"/>
      <c r="G2" s="109" t="s">
        <v>80</v>
      </c>
      <c r="H2" s="109" t="s">
        <v>2</v>
      </c>
      <c r="I2" s="109" t="s">
        <v>81</v>
      </c>
      <c r="J2" s="109"/>
      <c r="K2" s="153"/>
    </row>
    <row r="3" spans="1:76" x14ac:dyDescent="0.3">
      <c r="A3" s="110"/>
      <c r="B3" s="71"/>
      <c r="C3" s="159"/>
      <c r="D3" s="159"/>
      <c r="E3" s="71"/>
      <c r="F3" s="71"/>
      <c r="G3" s="71"/>
      <c r="H3" s="71"/>
      <c r="I3" s="71"/>
      <c r="J3" s="71"/>
      <c r="K3" s="103"/>
    </row>
    <row r="4" spans="1:76" x14ac:dyDescent="0.3">
      <c r="A4" s="110" t="s">
        <v>5</v>
      </c>
      <c r="B4" s="71"/>
      <c r="C4" s="71" t="s">
        <v>82</v>
      </c>
      <c r="D4" s="71"/>
      <c r="E4" s="71" t="s">
        <v>9</v>
      </c>
      <c r="F4" s="71"/>
      <c r="G4" s="71"/>
      <c r="H4" s="71" t="s">
        <v>6</v>
      </c>
      <c r="I4" s="71" t="s">
        <v>84</v>
      </c>
      <c r="J4" s="71"/>
      <c r="K4" s="103"/>
    </row>
    <row r="5" spans="1:76" x14ac:dyDescent="0.3">
      <c r="A5" s="110"/>
      <c r="B5" s="71"/>
      <c r="C5" s="71"/>
      <c r="D5" s="71"/>
      <c r="E5" s="71"/>
      <c r="F5" s="71"/>
      <c r="G5" s="71"/>
      <c r="H5" s="71"/>
      <c r="I5" s="71"/>
      <c r="J5" s="71"/>
      <c r="K5" s="103"/>
    </row>
    <row r="6" spans="1:76" x14ac:dyDescent="0.3">
      <c r="A6" s="110" t="s">
        <v>7</v>
      </c>
      <c r="B6" s="71"/>
      <c r="C6" s="71" t="s">
        <v>85</v>
      </c>
      <c r="D6" s="71"/>
      <c r="E6" s="71" t="s">
        <v>10</v>
      </c>
      <c r="F6" s="71"/>
      <c r="G6" s="71" t="s">
        <v>80</v>
      </c>
      <c r="H6" s="71" t="s">
        <v>8</v>
      </c>
      <c r="I6" s="71" t="s">
        <v>86</v>
      </c>
      <c r="J6" s="71"/>
      <c r="K6" s="103"/>
    </row>
    <row r="7" spans="1:76" x14ac:dyDescent="0.3">
      <c r="A7" s="110"/>
      <c r="B7" s="71"/>
      <c r="C7" s="71"/>
      <c r="D7" s="71"/>
      <c r="E7" s="71"/>
      <c r="F7" s="71"/>
      <c r="G7" s="71"/>
      <c r="H7" s="71"/>
      <c r="I7" s="71"/>
      <c r="J7" s="71"/>
      <c r="K7" s="103"/>
    </row>
    <row r="8" spans="1:76" x14ac:dyDescent="0.3">
      <c r="A8" s="110" t="s">
        <v>12</v>
      </c>
      <c r="B8" s="71"/>
      <c r="C8" s="71" t="s">
        <v>87</v>
      </c>
      <c r="D8" s="71"/>
      <c r="E8" s="71" t="s">
        <v>88</v>
      </c>
      <c r="F8" s="71"/>
      <c r="G8" s="71" t="s">
        <v>83</v>
      </c>
      <c r="H8" s="71" t="s">
        <v>13</v>
      </c>
      <c r="I8" s="71" t="s">
        <v>89</v>
      </c>
      <c r="J8" s="71"/>
      <c r="K8" s="103"/>
    </row>
    <row r="9" spans="1:76" x14ac:dyDescent="0.3">
      <c r="A9" s="158"/>
      <c r="B9" s="154"/>
      <c r="C9" s="154"/>
      <c r="D9" s="154"/>
      <c r="E9" s="154"/>
      <c r="F9" s="154"/>
      <c r="G9" s="154"/>
      <c r="H9" s="154"/>
      <c r="I9" s="154"/>
      <c r="J9" s="154"/>
      <c r="K9" s="155"/>
    </row>
    <row r="10" spans="1:76" ht="26.4" x14ac:dyDescent="0.3">
      <c r="A10" s="30" t="s">
        <v>90</v>
      </c>
      <c r="B10" s="31" t="s">
        <v>91</v>
      </c>
      <c r="C10" s="156" t="s">
        <v>92</v>
      </c>
      <c r="D10" s="157"/>
      <c r="E10" s="31" t="s">
        <v>93</v>
      </c>
      <c r="F10" s="32" t="s">
        <v>94</v>
      </c>
      <c r="G10" s="33" t="s">
        <v>95</v>
      </c>
      <c r="H10" s="149" t="s">
        <v>96</v>
      </c>
      <c r="I10" s="150"/>
      <c r="J10" s="151"/>
      <c r="K10" s="34" t="s">
        <v>97</v>
      </c>
      <c r="BK10" s="35" t="s">
        <v>98</v>
      </c>
      <c r="BL10" s="36" t="s">
        <v>99</v>
      </c>
      <c r="BW10" s="36" t="s">
        <v>100</v>
      </c>
    </row>
    <row r="11" spans="1:76" x14ac:dyDescent="0.3">
      <c r="A11" s="37" t="s">
        <v>80</v>
      </c>
      <c r="B11" s="38" t="s">
        <v>80</v>
      </c>
      <c r="C11" s="147" t="s">
        <v>101</v>
      </c>
      <c r="D11" s="148"/>
      <c r="E11" s="38" t="s">
        <v>80</v>
      </c>
      <c r="F11" s="38" t="s">
        <v>80</v>
      </c>
      <c r="G11" s="39" t="s">
        <v>102</v>
      </c>
      <c r="H11" s="40" t="s">
        <v>103</v>
      </c>
      <c r="I11" s="41" t="s">
        <v>26</v>
      </c>
      <c r="J11" s="42" t="s">
        <v>104</v>
      </c>
      <c r="K11" s="43" t="s">
        <v>105</v>
      </c>
      <c r="Z11" s="35" t="s">
        <v>106</v>
      </c>
      <c r="AA11" s="35" t="s">
        <v>107</v>
      </c>
      <c r="AB11" s="35" t="s">
        <v>108</v>
      </c>
      <c r="AC11" s="35" t="s">
        <v>109</v>
      </c>
      <c r="AD11" s="35" t="s">
        <v>110</v>
      </c>
      <c r="AE11" s="35" t="s">
        <v>111</v>
      </c>
      <c r="AF11" s="35" t="s">
        <v>112</v>
      </c>
      <c r="AG11" s="35" t="s">
        <v>113</v>
      </c>
      <c r="AH11" s="35" t="s">
        <v>114</v>
      </c>
      <c r="BH11" s="35" t="s">
        <v>115</v>
      </c>
      <c r="BI11" s="35" t="s">
        <v>116</v>
      </c>
      <c r="BJ11" s="35" t="s">
        <v>117</v>
      </c>
    </row>
    <row r="12" spans="1:76" x14ac:dyDescent="0.3">
      <c r="A12" s="44" t="s">
        <v>4</v>
      </c>
      <c r="B12" s="25" t="s">
        <v>4</v>
      </c>
      <c r="C12" s="152" t="s">
        <v>118</v>
      </c>
      <c r="D12" s="152"/>
      <c r="E12" s="45" t="s">
        <v>80</v>
      </c>
      <c r="F12" s="45" t="s">
        <v>80</v>
      </c>
      <c r="G12" s="45" t="s">
        <v>80</v>
      </c>
      <c r="H12" s="46">
        <f>H13+H23+H28+H45+H66+H71+H83+H92+H97+H101+H113+H134+H138+H143+H145+H155+H158+H163+H168</f>
        <v>0</v>
      </c>
      <c r="I12" s="46">
        <f>I13+I23+I28+I45+I66+I71+I83+I92+I97+I101+I113+I134+I138+I143+I145+I155+I158+I163+I168</f>
        <v>0</v>
      </c>
      <c r="J12" s="46">
        <f>J13+J23+J28+J45+J66+J71+J83+J92+J97+J101+J113+J134+J138+J143+J145+J155+J158+J163+J168</f>
        <v>0</v>
      </c>
      <c r="K12" s="47" t="s">
        <v>4</v>
      </c>
    </row>
    <row r="13" spans="1:76" x14ac:dyDescent="0.3">
      <c r="A13" s="48" t="s">
        <v>4</v>
      </c>
      <c r="B13" s="26" t="s">
        <v>119</v>
      </c>
      <c r="C13" s="142" t="s">
        <v>120</v>
      </c>
      <c r="D13" s="142"/>
      <c r="E13" s="49" t="s">
        <v>80</v>
      </c>
      <c r="F13" s="49" t="s">
        <v>80</v>
      </c>
      <c r="G13" s="49" t="s">
        <v>80</v>
      </c>
      <c r="H13" s="29">
        <f>SUM(H14:H14)</f>
        <v>0</v>
      </c>
      <c r="I13" s="29">
        <f>SUM(I14:I14)</f>
        <v>0</v>
      </c>
      <c r="J13" s="29">
        <f>SUM(J14:J14)</f>
        <v>0</v>
      </c>
      <c r="K13" s="50" t="s">
        <v>4</v>
      </c>
      <c r="AI13" s="35" t="s">
        <v>4</v>
      </c>
      <c r="AS13" s="29">
        <f>SUM(AJ14:AJ14)</f>
        <v>0</v>
      </c>
      <c r="AT13" s="29">
        <f>SUM(AK14:AK14)</f>
        <v>0</v>
      </c>
      <c r="AU13" s="29">
        <f>SUM(AL14:AL14)</f>
        <v>0</v>
      </c>
    </row>
    <row r="14" spans="1:76" x14ac:dyDescent="0.3">
      <c r="A14" s="1" t="s">
        <v>121</v>
      </c>
      <c r="B14" s="2" t="s">
        <v>122</v>
      </c>
      <c r="C14" s="71" t="s">
        <v>123</v>
      </c>
      <c r="D14" s="71"/>
      <c r="E14" s="2" t="s">
        <v>124</v>
      </c>
      <c r="F14" s="51">
        <v>71.989999999999995</v>
      </c>
      <c r="G14" s="51">
        <v>0</v>
      </c>
      <c r="H14" s="51">
        <f>F14*AO14</f>
        <v>0</v>
      </c>
      <c r="I14" s="51">
        <f>F14*AP14</f>
        <v>0</v>
      </c>
      <c r="J14" s="51">
        <f>F14*G14</f>
        <v>0</v>
      </c>
      <c r="K14" s="52" t="s">
        <v>125</v>
      </c>
      <c r="Z14" s="51">
        <f>IF(AQ14="5",BJ14,0)</f>
        <v>0</v>
      </c>
      <c r="AB14" s="51">
        <f>IF(AQ14="1",BH14,0)</f>
        <v>0</v>
      </c>
      <c r="AC14" s="51">
        <f>IF(AQ14="1",BI14,0)</f>
        <v>0</v>
      </c>
      <c r="AD14" s="51">
        <f>IF(AQ14="7",BH14,0)</f>
        <v>0</v>
      </c>
      <c r="AE14" s="51">
        <f>IF(AQ14="7",BI14,0)</f>
        <v>0</v>
      </c>
      <c r="AF14" s="51">
        <f>IF(AQ14="2",BH14,0)</f>
        <v>0</v>
      </c>
      <c r="AG14" s="51">
        <f>IF(AQ14="2",BI14,0)</f>
        <v>0</v>
      </c>
      <c r="AH14" s="51">
        <f>IF(AQ14="0",BJ14,0)</f>
        <v>0</v>
      </c>
      <c r="AI14" s="35" t="s">
        <v>4</v>
      </c>
      <c r="AJ14" s="51">
        <f>IF(AN14=0,J14,0)</f>
        <v>0</v>
      </c>
      <c r="AK14" s="51">
        <f>IF(AN14=12,J14,0)</f>
        <v>0</v>
      </c>
      <c r="AL14" s="51">
        <f>IF(AN14=21,J14,0)</f>
        <v>0</v>
      </c>
      <c r="AN14" s="51">
        <v>21</v>
      </c>
      <c r="AO14" s="51">
        <f>G14*0</f>
        <v>0</v>
      </c>
      <c r="AP14" s="51">
        <f>G14*(1-0)</f>
        <v>0</v>
      </c>
      <c r="AQ14" s="53" t="s">
        <v>121</v>
      </c>
      <c r="AV14" s="51">
        <f>AW14+AX14</f>
        <v>0</v>
      </c>
      <c r="AW14" s="51">
        <f>F14*AO14</f>
        <v>0</v>
      </c>
      <c r="AX14" s="51">
        <f>F14*AP14</f>
        <v>0</v>
      </c>
      <c r="AY14" s="53" t="s">
        <v>126</v>
      </c>
      <c r="AZ14" s="53" t="s">
        <v>127</v>
      </c>
      <c r="BA14" s="35" t="s">
        <v>128</v>
      </c>
      <c r="BC14" s="51">
        <f>AW14+AX14</f>
        <v>0</v>
      </c>
      <c r="BD14" s="51">
        <f>G14/(100-BE14)*100</f>
        <v>0</v>
      </c>
      <c r="BE14" s="51">
        <v>0</v>
      </c>
      <c r="BF14" s="51">
        <f>14</f>
        <v>14</v>
      </c>
      <c r="BH14" s="51">
        <f>F14*AO14</f>
        <v>0</v>
      </c>
      <c r="BI14" s="51">
        <f>F14*AP14</f>
        <v>0</v>
      </c>
      <c r="BJ14" s="51">
        <f>F14*G14</f>
        <v>0</v>
      </c>
      <c r="BK14" s="51"/>
      <c r="BL14" s="51">
        <v>13</v>
      </c>
      <c r="BW14" s="51">
        <v>21</v>
      </c>
      <c r="BX14" s="2" t="s">
        <v>123</v>
      </c>
    </row>
    <row r="15" spans="1:76" ht="26.4" x14ac:dyDescent="0.3">
      <c r="A15" s="54"/>
      <c r="C15" s="55" t="s">
        <v>129</v>
      </c>
      <c r="D15" s="56" t="s">
        <v>4</v>
      </c>
      <c r="F15" s="57">
        <v>0</v>
      </c>
      <c r="K15" s="58"/>
    </row>
    <row r="16" spans="1:76" ht="39.6" x14ac:dyDescent="0.3">
      <c r="A16" s="54"/>
      <c r="C16" s="55" t="s">
        <v>130</v>
      </c>
      <c r="D16" s="56" t="s">
        <v>131</v>
      </c>
      <c r="F16" s="57">
        <v>12.69</v>
      </c>
      <c r="K16" s="58"/>
    </row>
    <row r="17" spans="1:76" ht="39.6" x14ac:dyDescent="0.3">
      <c r="A17" s="54"/>
      <c r="C17" s="55" t="s">
        <v>132</v>
      </c>
      <c r="D17" s="56" t="s">
        <v>133</v>
      </c>
      <c r="F17" s="57">
        <v>21.52</v>
      </c>
      <c r="K17" s="58"/>
    </row>
    <row r="18" spans="1:76" ht="26.4" x14ac:dyDescent="0.3">
      <c r="A18" s="54"/>
      <c r="C18" s="55" t="s">
        <v>134</v>
      </c>
      <c r="D18" s="56" t="s">
        <v>135</v>
      </c>
      <c r="F18" s="57">
        <v>28.93</v>
      </c>
      <c r="K18" s="58"/>
    </row>
    <row r="19" spans="1:76" ht="26.4" x14ac:dyDescent="0.3">
      <c r="A19" s="54"/>
      <c r="C19" s="55" t="s">
        <v>136</v>
      </c>
      <c r="D19" s="56" t="s">
        <v>4</v>
      </c>
      <c r="F19" s="57">
        <v>0</v>
      </c>
      <c r="K19" s="58"/>
    </row>
    <row r="20" spans="1:76" ht="26.4" x14ac:dyDescent="0.3">
      <c r="A20" s="54"/>
      <c r="C20" s="55" t="s">
        <v>137</v>
      </c>
      <c r="D20" s="56" t="s">
        <v>138</v>
      </c>
      <c r="F20" s="57">
        <v>2.31</v>
      </c>
      <c r="K20" s="58"/>
    </row>
    <row r="21" spans="1:76" x14ac:dyDescent="0.3">
      <c r="A21" s="54"/>
      <c r="C21" s="55" t="s">
        <v>139</v>
      </c>
      <c r="D21" s="56" t="s">
        <v>140</v>
      </c>
      <c r="F21" s="57">
        <v>3.91</v>
      </c>
      <c r="K21" s="58"/>
    </row>
    <row r="22" spans="1:76" x14ac:dyDescent="0.3">
      <c r="A22" s="54"/>
      <c r="C22" s="55" t="s">
        <v>141</v>
      </c>
      <c r="D22" s="56" t="s">
        <v>142</v>
      </c>
      <c r="F22" s="57">
        <v>2.63</v>
      </c>
      <c r="K22" s="58"/>
    </row>
    <row r="23" spans="1:76" x14ac:dyDescent="0.3">
      <c r="A23" s="48" t="s">
        <v>4</v>
      </c>
      <c r="B23" s="26" t="s">
        <v>143</v>
      </c>
      <c r="C23" s="142" t="s">
        <v>144</v>
      </c>
      <c r="D23" s="142"/>
      <c r="E23" s="49" t="s">
        <v>80</v>
      </c>
      <c r="F23" s="49" t="s">
        <v>80</v>
      </c>
      <c r="G23" s="49" t="s">
        <v>80</v>
      </c>
      <c r="H23" s="29">
        <f>SUM(H24:H24)</f>
        <v>0</v>
      </c>
      <c r="I23" s="29">
        <f>SUM(I24:I24)</f>
        <v>0</v>
      </c>
      <c r="J23" s="29">
        <f>SUM(J24:J24)</f>
        <v>0</v>
      </c>
      <c r="K23" s="50" t="s">
        <v>4</v>
      </c>
      <c r="AI23" s="35" t="s">
        <v>4</v>
      </c>
      <c r="AS23" s="29">
        <f>SUM(AJ24:AJ24)</f>
        <v>0</v>
      </c>
      <c r="AT23" s="29">
        <f>SUM(AK24:AK24)</f>
        <v>0</v>
      </c>
      <c r="AU23" s="29">
        <f>SUM(AL24:AL24)</f>
        <v>0</v>
      </c>
    </row>
    <row r="24" spans="1:76" x14ac:dyDescent="0.3">
      <c r="A24" s="1" t="s">
        <v>145</v>
      </c>
      <c r="B24" s="2" t="s">
        <v>146</v>
      </c>
      <c r="C24" s="71" t="s">
        <v>147</v>
      </c>
      <c r="D24" s="71"/>
      <c r="E24" s="2" t="s">
        <v>124</v>
      </c>
      <c r="F24" s="51">
        <v>59.15</v>
      </c>
      <c r="G24" s="51">
        <v>0</v>
      </c>
      <c r="H24" s="51">
        <f>F24*AO24</f>
        <v>0</v>
      </c>
      <c r="I24" s="51">
        <f>F24*AP24</f>
        <v>0</v>
      </c>
      <c r="J24" s="51">
        <f>F24*G24</f>
        <v>0</v>
      </c>
      <c r="K24" s="52" t="s">
        <v>125</v>
      </c>
      <c r="Z24" s="51">
        <f>IF(AQ24="5",BJ24,0)</f>
        <v>0</v>
      </c>
      <c r="AB24" s="51">
        <f>IF(AQ24="1",BH24,0)</f>
        <v>0</v>
      </c>
      <c r="AC24" s="51">
        <f>IF(AQ24="1",BI24,0)</f>
        <v>0</v>
      </c>
      <c r="AD24" s="51">
        <f>IF(AQ24="7",BH24,0)</f>
        <v>0</v>
      </c>
      <c r="AE24" s="51">
        <f>IF(AQ24="7",BI24,0)</f>
        <v>0</v>
      </c>
      <c r="AF24" s="51">
        <f>IF(AQ24="2",BH24,0)</f>
        <v>0</v>
      </c>
      <c r="AG24" s="51">
        <f>IF(AQ24="2",BI24,0)</f>
        <v>0</v>
      </c>
      <c r="AH24" s="51">
        <f>IF(AQ24="0",BJ24,0)</f>
        <v>0</v>
      </c>
      <c r="AI24" s="35" t="s">
        <v>4</v>
      </c>
      <c r="AJ24" s="51">
        <f>IF(AN24=0,J24,0)</f>
        <v>0</v>
      </c>
      <c r="AK24" s="51">
        <f>IF(AN24=12,J24,0)</f>
        <v>0</v>
      </c>
      <c r="AL24" s="51">
        <f>IF(AN24=21,J24,0)</f>
        <v>0</v>
      </c>
      <c r="AN24" s="51">
        <v>21</v>
      </c>
      <c r="AO24" s="51">
        <f>G24*0</f>
        <v>0</v>
      </c>
      <c r="AP24" s="51">
        <f>G24*(1-0)</f>
        <v>0</v>
      </c>
      <c r="AQ24" s="53" t="s">
        <v>121</v>
      </c>
      <c r="AV24" s="51">
        <f>AW24+AX24</f>
        <v>0</v>
      </c>
      <c r="AW24" s="51">
        <f>F24*AO24</f>
        <v>0</v>
      </c>
      <c r="AX24" s="51">
        <f>F24*AP24</f>
        <v>0</v>
      </c>
      <c r="AY24" s="53" t="s">
        <v>148</v>
      </c>
      <c r="AZ24" s="53" t="s">
        <v>127</v>
      </c>
      <c r="BA24" s="35" t="s">
        <v>128</v>
      </c>
      <c r="BC24" s="51">
        <f>AW24+AX24</f>
        <v>0</v>
      </c>
      <c r="BD24" s="51">
        <f>G24/(100-BE24)*100</f>
        <v>0</v>
      </c>
      <c r="BE24" s="51">
        <v>0</v>
      </c>
      <c r="BF24" s="51">
        <f>24</f>
        <v>24</v>
      </c>
      <c r="BH24" s="51">
        <f>F24*AO24</f>
        <v>0</v>
      </c>
      <c r="BI24" s="51">
        <f>F24*AP24</f>
        <v>0</v>
      </c>
      <c r="BJ24" s="51">
        <f>F24*G24</f>
        <v>0</v>
      </c>
      <c r="BK24" s="51"/>
      <c r="BL24" s="51">
        <v>17</v>
      </c>
      <c r="BW24" s="51">
        <v>21</v>
      </c>
      <c r="BX24" s="2" t="s">
        <v>147</v>
      </c>
    </row>
    <row r="25" spans="1:76" ht="39.6" x14ac:dyDescent="0.3">
      <c r="A25" s="54"/>
      <c r="C25" s="55" t="s">
        <v>149</v>
      </c>
      <c r="D25" s="56" t="s">
        <v>150</v>
      </c>
      <c r="F25" s="57">
        <v>12.3</v>
      </c>
      <c r="K25" s="58"/>
    </row>
    <row r="26" spans="1:76" ht="39.6" x14ac:dyDescent="0.3">
      <c r="A26" s="54"/>
      <c r="C26" s="55" t="s">
        <v>151</v>
      </c>
      <c r="D26" s="56" t="s">
        <v>152</v>
      </c>
      <c r="F26" s="57">
        <v>19.29</v>
      </c>
      <c r="K26" s="58"/>
    </row>
    <row r="27" spans="1:76" ht="39.6" x14ac:dyDescent="0.3">
      <c r="A27" s="54"/>
      <c r="C27" s="55" t="s">
        <v>153</v>
      </c>
      <c r="D27" s="56" t="s">
        <v>154</v>
      </c>
      <c r="F27" s="57">
        <v>27.56</v>
      </c>
      <c r="K27" s="58"/>
    </row>
    <row r="28" spans="1:76" x14ac:dyDescent="0.3">
      <c r="A28" s="48" t="s">
        <v>4</v>
      </c>
      <c r="B28" s="26" t="s">
        <v>155</v>
      </c>
      <c r="C28" s="142" t="s">
        <v>156</v>
      </c>
      <c r="D28" s="142"/>
      <c r="E28" s="49" t="s">
        <v>80</v>
      </c>
      <c r="F28" s="49" t="s">
        <v>80</v>
      </c>
      <c r="G28" s="49" t="s">
        <v>80</v>
      </c>
      <c r="H28" s="29">
        <f>SUM(H29:H41)</f>
        <v>0</v>
      </c>
      <c r="I28" s="29">
        <f>SUM(I29:I41)</f>
        <v>0</v>
      </c>
      <c r="J28" s="29">
        <f>SUM(J29:J41)</f>
        <v>0</v>
      </c>
      <c r="K28" s="50" t="s">
        <v>4</v>
      </c>
      <c r="AI28" s="35" t="s">
        <v>4</v>
      </c>
      <c r="AS28" s="29">
        <f>SUM(AJ29:AJ41)</f>
        <v>0</v>
      </c>
      <c r="AT28" s="29">
        <f>SUM(AK29:AK41)</f>
        <v>0</v>
      </c>
      <c r="AU28" s="29">
        <f>SUM(AL29:AL41)</f>
        <v>0</v>
      </c>
    </row>
    <row r="29" spans="1:76" x14ac:dyDescent="0.3">
      <c r="A29" s="1" t="s">
        <v>157</v>
      </c>
      <c r="B29" s="2" t="s">
        <v>158</v>
      </c>
      <c r="C29" s="71" t="s">
        <v>159</v>
      </c>
      <c r="D29" s="71"/>
      <c r="E29" s="2" t="s">
        <v>160</v>
      </c>
      <c r="F29" s="51">
        <v>191.33</v>
      </c>
      <c r="G29" s="51">
        <v>0</v>
      </c>
      <c r="H29" s="51">
        <f>F29*AO29</f>
        <v>0</v>
      </c>
      <c r="I29" s="51">
        <f>F29*AP29</f>
        <v>0</v>
      </c>
      <c r="J29" s="51">
        <f>F29*G29</f>
        <v>0</v>
      </c>
      <c r="K29" s="52" t="s">
        <v>125</v>
      </c>
      <c r="Z29" s="51">
        <f>IF(AQ29="5",BJ29,0)</f>
        <v>0</v>
      </c>
      <c r="AB29" s="51">
        <f>IF(AQ29="1",BH29,0)</f>
        <v>0</v>
      </c>
      <c r="AC29" s="51">
        <f>IF(AQ29="1",BI29,0)</f>
        <v>0</v>
      </c>
      <c r="AD29" s="51">
        <f>IF(AQ29="7",BH29,0)</f>
        <v>0</v>
      </c>
      <c r="AE29" s="51">
        <f>IF(AQ29="7",BI29,0)</f>
        <v>0</v>
      </c>
      <c r="AF29" s="51">
        <f>IF(AQ29="2",BH29,0)</f>
        <v>0</v>
      </c>
      <c r="AG29" s="51">
        <f>IF(AQ29="2",BI29,0)</f>
        <v>0</v>
      </c>
      <c r="AH29" s="51">
        <f>IF(AQ29="0",BJ29,0)</f>
        <v>0</v>
      </c>
      <c r="AI29" s="35" t="s">
        <v>4</v>
      </c>
      <c r="AJ29" s="51">
        <f>IF(AN29=0,J29,0)</f>
        <v>0</v>
      </c>
      <c r="AK29" s="51">
        <f>IF(AN29=12,J29,0)</f>
        <v>0</v>
      </c>
      <c r="AL29" s="51">
        <f>IF(AN29=21,J29,0)</f>
        <v>0</v>
      </c>
      <c r="AN29" s="51">
        <v>21</v>
      </c>
      <c r="AO29" s="51">
        <f>G29*0</f>
        <v>0</v>
      </c>
      <c r="AP29" s="51">
        <f>G29*(1-0)</f>
        <v>0</v>
      </c>
      <c r="AQ29" s="53" t="s">
        <v>121</v>
      </c>
      <c r="AV29" s="51">
        <f>AW29+AX29</f>
        <v>0</v>
      </c>
      <c r="AW29" s="51">
        <f>F29*AO29</f>
        <v>0</v>
      </c>
      <c r="AX29" s="51">
        <f>F29*AP29</f>
        <v>0</v>
      </c>
      <c r="AY29" s="53" t="s">
        <v>161</v>
      </c>
      <c r="AZ29" s="53" t="s">
        <v>127</v>
      </c>
      <c r="BA29" s="35" t="s">
        <v>128</v>
      </c>
      <c r="BC29" s="51">
        <f>AW29+AX29</f>
        <v>0</v>
      </c>
      <c r="BD29" s="51">
        <f>G29/(100-BE29)*100</f>
        <v>0</v>
      </c>
      <c r="BE29" s="51">
        <v>0</v>
      </c>
      <c r="BF29" s="51">
        <f>29</f>
        <v>29</v>
      </c>
      <c r="BH29" s="51">
        <f>F29*AO29</f>
        <v>0</v>
      </c>
      <c r="BI29" s="51">
        <f>F29*AP29</f>
        <v>0</v>
      </c>
      <c r="BJ29" s="51">
        <f>F29*G29</f>
        <v>0</v>
      </c>
      <c r="BK29" s="51"/>
      <c r="BL29" s="51">
        <v>18</v>
      </c>
      <c r="BW29" s="51">
        <v>21</v>
      </c>
      <c r="BX29" s="2" t="s">
        <v>159</v>
      </c>
    </row>
    <row r="30" spans="1:76" ht="39.6" x14ac:dyDescent="0.3">
      <c r="A30" s="54"/>
      <c r="C30" s="55" t="s">
        <v>162</v>
      </c>
      <c r="D30" s="56" t="s">
        <v>163</v>
      </c>
      <c r="F30" s="57">
        <v>38.450000000000003</v>
      </c>
      <c r="K30" s="58"/>
    </row>
    <row r="31" spans="1:76" ht="26.4" x14ac:dyDescent="0.3">
      <c r="A31" s="54"/>
      <c r="C31" s="55" t="s">
        <v>164</v>
      </c>
      <c r="D31" s="56" t="s">
        <v>165</v>
      </c>
      <c r="F31" s="57">
        <v>65.22</v>
      </c>
      <c r="K31" s="58"/>
    </row>
    <row r="32" spans="1:76" x14ac:dyDescent="0.3">
      <c r="A32" s="54"/>
      <c r="C32" s="55" t="s">
        <v>166</v>
      </c>
      <c r="D32" s="56" t="s">
        <v>167</v>
      </c>
      <c r="F32" s="57">
        <v>87.66</v>
      </c>
      <c r="K32" s="58"/>
    </row>
    <row r="33" spans="1:76" x14ac:dyDescent="0.3">
      <c r="A33" s="1" t="s">
        <v>168</v>
      </c>
      <c r="B33" s="2" t="s">
        <v>169</v>
      </c>
      <c r="C33" s="71" t="s">
        <v>170</v>
      </c>
      <c r="D33" s="71"/>
      <c r="E33" s="2" t="s">
        <v>160</v>
      </c>
      <c r="F33" s="51">
        <v>191.33</v>
      </c>
      <c r="G33" s="51">
        <v>0</v>
      </c>
      <c r="H33" s="51">
        <f>F33*AO33</f>
        <v>0</v>
      </c>
      <c r="I33" s="51">
        <f>F33*AP33</f>
        <v>0</v>
      </c>
      <c r="J33" s="51">
        <f>F33*G33</f>
        <v>0</v>
      </c>
      <c r="K33" s="52" t="s">
        <v>125</v>
      </c>
      <c r="Z33" s="51">
        <f>IF(AQ33="5",BJ33,0)</f>
        <v>0</v>
      </c>
      <c r="AB33" s="51">
        <f>IF(AQ33="1",BH33,0)</f>
        <v>0</v>
      </c>
      <c r="AC33" s="51">
        <f>IF(AQ33="1",BI33,0)</f>
        <v>0</v>
      </c>
      <c r="AD33" s="51">
        <f>IF(AQ33="7",BH33,0)</f>
        <v>0</v>
      </c>
      <c r="AE33" s="51">
        <f>IF(AQ33="7",BI33,0)</f>
        <v>0</v>
      </c>
      <c r="AF33" s="51">
        <f>IF(AQ33="2",BH33,0)</f>
        <v>0</v>
      </c>
      <c r="AG33" s="51">
        <f>IF(AQ33="2",BI33,0)</f>
        <v>0</v>
      </c>
      <c r="AH33" s="51">
        <f>IF(AQ33="0",BJ33,0)</f>
        <v>0</v>
      </c>
      <c r="AI33" s="35" t="s">
        <v>4</v>
      </c>
      <c r="AJ33" s="51">
        <f>IF(AN33=0,J33,0)</f>
        <v>0</v>
      </c>
      <c r="AK33" s="51">
        <f>IF(AN33=12,J33,0)</f>
        <v>0</v>
      </c>
      <c r="AL33" s="51">
        <f>IF(AN33=21,J33,0)</f>
        <v>0</v>
      </c>
      <c r="AN33" s="51">
        <v>21</v>
      </c>
      <c r="AO33" s="51">
        <f>G33*0.072542309</f>
        <v>0</v>
      </c>
      <c r="AP33" s="51">
        <f>G33*(1-0.072542309)</f>
        <v>0</v>
      </c>
      <c r="AQ33" s="53" t="s">
        <v>121</v>
      </c>
      <c r="AV33" s="51">
        <f>AW33+AX33</f>
        <v>0</v>
      </c>
      <c r="AW33" s="51">
        <f>F33*AO33</f>
        <v>0</v>
      </c>
      <c r="AX33" s="51">
        <f>F33*AP33</f>
        <v>0</v>
      </c>
      <c r="AY33" s="53" t="s">
        <v>161</v>
      </c>
      <c r="AZ33" s="53" t="s">
        <v>127</v>
      </c>
      <c r="BA33" s="35" t="s">
        <v>128</v>
      </c>
      <c r="BC33" s="51">
        <f>AW33+AX33</f>
        <v>0</v>
      </c>
      <c r="BD33" s="51">
        <f>G33/(100-BE33)*100</f>
        <v>0</v>
      </c>
      <c r="BE33" s="51">
        <v>0</v>
      </c>
      <c r="BF33" s="51">
        <f>33</f>
        <v>33</v>
      </c>
      <c r="BH33" s="51">
        <f>F33*AO33</f>
        <v>0</v>
      </c>
      <c r="BI33" s="51">
        <f>F33*AP33</f>
        <v>0</v>
      </c>
      <c r="BJ33" s="51">
        <f>F33*G33</f>
        <v>0</v>
      </c>
      <c r="BK33" s="51"/>
      <c r="BL33" s="51">
        <v>18</v>
      </c>
      <c r="BW33" s="51">
        <v>21</v>
      </c>
      <c r="BX33" s="2" t="s">
        <v>170</v>
      </c>
    </row>
    <row r="34" spans="1:76" ht="39.6" x14ac:dyDescent="0.3">
      <c r="A34" s="54"/>
      <c r="C34" s="55" t="s">
        <v>162</v>
      </c>
      <c r="D34" s="56" t="s">
        <v>163</v>
      </c>
      <c r="F34" s="57">
        <v>38.450000000000003</v>
      </c>
      <c r="K34" s="58"/>
    </row>
    <row r="35" spans="1:76" ht="26.4" x14ac:dyDescent="0.3">
      <c r="A35" s="54"/>
      <c r="C35" s="55" t="s">
        <v>164</v>
      </c>
      <c r="D35" s="56" t="s">
        <v>165</v>
      </c>
      <c r="F35" s="57">
        <v>65.22</v>
      </c>
      <c r="K35" s="58"/>
    </row>
    <row r="36" spans="1:76" x14ac:dyDescent="0.3">
      <c r="A36" s="54"/>
      <c r="C36" s="55" t="s">
        <v>166</v>
      </c>
      <c r="D36" s="56" t="s">
        <v>167</v>
      </c>
      <c r="F36" s="57">
        <v>87.66</v>
      </c>
      <c r="K36" s="58"/>
    </row>
    <row r="37" spans="1:76" x14ac:dyDescent="0.3">
      <c r="A37" s="1" t="s">
        <v>171</v>
      </c>
      <c r="B37" s="2" t="s">
        <v>172</v>
      </c>
      <c r="C37" s="71" t="s">
        <v>173</v>
      </c>
      <c r="D37" s="71"/>
      <c r="E37" s="2" t="s">
        <v>160</v>
      </c>
      <c r="F37" s="51">
        <v>191.33</v>
      </c>
      <c r="G37" s="51">
        <v>0</v>
      </c>
      <c r="H37" s="51">
        <f>F37*AO37</f>
        <v>0</v>
      </c>
      <c r="I37" s="51">
        <f>F37*AP37</f>
        <v>0</v>
      </c>
      <c r="J37" s="51">
        <f>F37*G37</f>
        <v>0</v>
      </c>
      <c r="K37" s="52" t="s">
        <v>125</v>
      </c>
      <c r="Z37" s="51">
        <f>IF(AQ37="5",BJ37,0)</f>
        <v>0</v>
      </c>
      <c r="AB37" s="51">
        <f>IF(AQ37="1",BH37,0)</f>
        <v>0</v>
      </c>
      <c r="AC37" s="51">
        <f>IF(AQ37="1",BI37,0)</f>
        <v>0</v>
      </c>
      <c r="AD37" s="51">
        <f>IF(AQ37="7",BH37,0)</f>
        <v>0</v>
      </c>
      <c r="AE37" s="51">
        <f>IF(AQ37="7",BI37,0)</f>
        <v>0</v>
      </c>
      <c r="AF37" s="51">
        <f>IF(AQ37="2",BH37,0)</f>
        <v>0</v>
      </c>
      <c r="AG37" s="51">
        <f>IF(AQ37="2",BI37,0)</f>
        <v>0</v>
      </c>
      <c r="AH37" s="51">
        <f>IF(AQ37="0",BJ37,0)</f>
        <v>0</v>
      </c>
      <c r="AI37" s="35" t="s">
        <v>4</v>
      </c>
      <c r="AJ37" s="51">
        <f>IF(AN37=0,J37,0)</f>
        <v>0</v>
      </c>
      <c r="AK37" s="51">
        <f>IF(AN37=12,J37,0)</f>
        <v>0</v>
      </c>
      <c r="AL37" s="51">
        <f>IF(AN37=21,J37,0)</f>
        <v>0</v>
      </c>
      <c r="AN37" s="51">
        <v>21</v>
      </c>
      <c r="AO37" s="51">
        <f>G37*0</f>
        <v>0</v>
      </c>
      <c r="AP37" s="51">
        <f>G37*(1-0)</f>
        <v>0</v>
      </c>
      <c r="AQ37" s="53" t="s">
        <v>121</v>
      </c>
      <c r="AV37" s="51">
        <f>AW37+AX37</f>
        <v>0</v>
      </c>
      <c r="AW37" s="51">
        <f>F37*AO37</f>
        <v>0</v>
      </c>
      <c r="AX37" s="51">
        <f>F37*AP37</f>
        <v>0</v>
      </c>
      <c r="AY37" s="53" t="s">
        <v>161</v>
      </c>
      <c r="AZ37" s="53" t="s">
        <v>127</v>
      </c>
      <c r="BA37" s="35" t="s">
        <v>128</v>
      </c>
      <c r="BC37" s="51">
        <f>AW37+AX37</f>
        <v>0</v>
      </c>
      <c r="BD37" s="51">
        <f>G37/(100-BE37)*100</f>
        <v>0</v>
      </c>
      <c r="BE37" s="51">
        <v>0</v>
      </c>
      <c r="BF37" s="51">
        <f>37</f>
        <v>37</v>
      </c>
      <c r="BH37" s="51">
        <f>F37*AO37</f>
        <v>0</v>
      </c>
      <c r="BI37" s="51">
        <f>F37*AP37</f>
        <v>0</v>
      </c>
      <c r="BJ37" s="51">
        <f>F37*G37</f>
        <v>0</v>
      </c>
      <c r="BK37" s="51"/>
      <c r="BL37" s="51">
        <v>18</v>
      </c>
      <c r="BW37" s="51">
        <v>21</v>
      </c>
      <c r="BX37" s="2" t="s">
        <v>173</v>
      </c>
    </row>
    <row r="38" spans="1:76" ht="39.6" x14ac:dyDescent="0.3">
      <c r="A38" s="54"/>
      <c r="C38" s="55" t="s">
        <v>162</v>
      </c>
      <c r="D38" s="56" t="s">
        <v>163</v>
      </c>
      <c r="F38" s="57">
        <v>38.450000000000003</v>
      </c>
      <c r="K38" s="58"/>
    </row>
    <row r="39" spans="1:76" ht="26.4" x14ac:dyDescent="0.3">
      <c r="A39" s="54"/>
      <c r="C39" s="55" t="s">
        <v>164</v>
      </c>
      <c r="D39" s="56" t="s">
        <v>165</v>
      </c>
      <c r="F39" s="57">
        <v>65.22</v>
      </c>
      <c r="K39" s="58"/>
    </row>
    <row r="40" spans="1:76" x14ac:dyDescent="0.3">
      <c r="A40" s="54"/>
      <c r="C40" s="55" t="s">
        <v>166</v>
      </c>
      <c r="D40" s="56" t="s">
        <v>167</v>
      </c>
      <c r="F40" s="57">
        <v>87.66</v>
      </c>
      <c r="K40" s="58"/>
    </row>
    <row r="41" spans="1:76" x14ac:dyDescent="0.3">
      <c r="A41" s="1" t="s">
        <v>174</v>
      </c>
      <c r="B41" s="2" t="s">
        <v>175</v>
      </c>
      <c r="C41" s="71" t="s">
        <v>176</v>
      </c>
      <c r="D41" s="71"/>
      <c r="E41" s="2" t="s">
        <v>160</v>
      </c>
      <c r="F41" s="51">
        <v>191.33</v>
      </c>
      <c r="G41" s="51">
        <v>0</v>
      </c>
      <c r="H41" s="51">
        <f>F41*AO41</f>
        <v>0</v>
      </c>
      <c r="I41" s="51">
        <f>F41*AP41</f>
        <v>0</v>
      </c>
      <c r="J41" s="51">
        <f>F41*G41</f>
        <v>0</v>
      </c>
      <c r="K41" s="52" t="s">
        <v>125</v>
      </c>
      <c r="Z41" s="51">
        <f>IF(AQ41="5",BJ41,0)</f>
        <v>0</v>
      </c>
      <c r="AB41" s="51">
        <f>IF(AQ41="1",BH41,0)</f>
        <v>0</v>
      </c>
      <c r="AC41" s="51">
        <f>IF(AQ41="1",BI41,0)</f>
        <v>0</v>
      </c>
      <c r="AD41" s="51">
        <f>IF(AQ41="7",BH41,0)</f>
        <v>0</v>
      </c>
      <c r="AE41" s="51">
        <f>IF(AQ41="7",BI41,0)</f>
        <v>0</v>
      </c>
      <c r="AF41" s="51">
        <f>IF(AQ41="2",BH41,0)</f>
        <v>0</v>
      </c>
      <c r="AG41" s="51">
        <f>IF(AQ41="2",BI41,0)</f>
        <v>0</v>
      </c>
      <c r="AH41" s="51">
        <f>IF(AQ41="0",BJ41,0)</f>
        <v>0</v>
      </c>
      <c r="AI41" s="35" t="s">
        <v>4</v>
      </c>
      <c r="AJ41" s="51">
        <f>IF(AN41=0,J41,0)</f>
        <v>0</v>
      </c>
      <c r="AK41" s="51">
        <f>IF(AN41=12,J41,0)</f>
        <v>0</v>
      </c>
      <c r="AL41" s="51">
        <f>IF(AN41=21,J41,0)</f>
        <v>0</v>
      </c>
      <c r="AN41" s="51">
        <v>21</v>
      </c>
      <c r="AO41" s="51">
        <f>G41*0</f>
        <v>0</v>
      </c>
      <c r="AP41" s="51">
        <f>G41*(1-0)</f>
        <v>0</v>
      </c>
      <c r="AQ41" s="53" t="s">
        <v>121</v>
      </c>
      <c r="AV41" s="51">
        <f>AW41+AX41</f>
        <v>0</v>
      </c>
      <c r="AW41" s="51">
        <f>F41*AO41</f>
        <v>0</v>
      </c>
      <c r="AX41" s="51">
        <f>F41*AP41</f>
        <v>0</v>
      </c>
      <c r="AY41" s="53" t="s">
        <v>161</v>
      </c>
      <c r="AZ41" s="53" t="s">
        <v>127</v>
      </c>
      <c r="BA41" s="35" t="s">
        <v>128</v>
      </c>
      <c r="BC41" s="51">
        <f>AW41+AX41</f>
        <v>0</v>
      </c>
      <c r="BD41" s="51">
        <f>G41/(100-BE41)*100</f>
        <v>0</v>
      </c>
      <c r="BE41" s="51">
        <v>0</v>
      </c>
      <c r="BF41" s="51">
        <f>41</f>
        <v>41</v>
      </c>
      <c r="BH41" s="51">
        <f>F41*AO41</f>
        <v>0</v>
      </c>
      <c r="BI41" s="51">
        <f>F41*AP41</f>
        <v>0</v>
      </c>
      <c r="BJ41" s="51">
        <f>F41*G41</f>
        <v>0</v>
      </c>
      <c r="BK41" s="51"/>
      <c r="BL41" s="51">
        <v>18</v>
      </c>
      <c r="BW41" s="51">
        <v>21</v>
      </c>
      <c r="BX41" s="2" t="s">
        <v>176</v>
      </c>
    </row>
    <row r="42" spans="1:76" ht="39.6" x14ac:dyDescent="0.3">
      <c r="A42" s="54"/>
      <c r="C42" s="55" t="s">
        <v>162</v>
      </c>
      <c r="D42" s="56" t="s">
        <v>163</v>
      </c>
      <c r="F42" s="57">
        <v>38.450000000000003</v>
      </c>
      <c r="K42" s="58"/>
    </row>
    <row r="43" spans="1:76" ht="26.4" x14ac:dyDescent="0.3">
      <c r="A43" s="54"/>
      <c r="C43" s="55" t="s">
        <v>164</v>
      </c>
      <c r="D43" s="56" t="s">
        <v>165</v>
      </c>
      <c r="F43" s="57">
        <v>65.22</v>
      </c>
      <c r="K43" s="58"/>
    </row>
    <row r="44" spans="1:76" x14ac:dyDescent="0.3">
      <c r="A44" s="54"/>
      <c r="C44" s="55" t="s">
        <v>166</v>
      </c>
      <c r="D44" s="56" t="s">
        <v>167</v>
      </c>
      <c r="F44" s="57">
        <v>87.66</v>
      </c>
      <c r="K44" s="58"/>
    </row>
    <row r="45" spans="1:76" x14ac:dyDescent="0.3">
      <c r="A45" s="48" t="s">
        <v>4</v>
      </c>
      <c r="B45" s="26" t="s">
        <v>177</v>
      </c>
      <c r="C45" s="142" t="s">
        <v>178</v>
      </c>
      <c r="D45" s="142"/>
      <c r="E45" s="49" t="s">
        <v>80</v>
      </c>
      <c r="F45" s="49" t="s">
        <v>80</v>
      </c>
      <c r="G45" s="49" t="s">
        <v>80</v>
      </c>
      <c r="H45" s="29">
        <f>SUM(H46:H63)</f>
        <v>0</v>
      </c>
      <c r="I45" s="29">
        <f>SUM(I46:I63)</f>
        <v>0</v>
      </c>
      <c r="J45" s="29">
        <f>SUM(J46:J63)</f>
        <v>0</v>
      </c>
      <c r="K45" s="50" t="s">
        <v>4</v>
      </c>
      <c r="AI45" s="35" t="s">
        <v>4</v>
      </c>
      <c r="AS45" s="29">
        <f>SUM(AJ46:AJ63)</f>
        <v>0</v>
      </c>
      <c r="AT45" s="29">
        <f>SUM(AK46:AK63)</f>
        <v>0</v>
      </c>
      <c r="AU45" s="29">
        <f>SUM(AL46:AL63)</f>
        <v>0</v>
      </c>
    </row>
    <row r="46" spans="1:76" x14ac:dyDescent="0.3">
      <c r="A46" s="1" t="s">
        <v>179</v>
      </c>
      <c r="B46" s="2" t="s">
        <v>180</v>
      </c>
      <c r="C46" s="71" t="s">
        <v>181</v>
      </c>
      <c r="D46" s="71"/>
      <c r="E46" s="2" t="s">
        <v>124</v>
      </c>
      <c r="F46" s="51">
        <v>12.75</v>
      </c>
      <c r="G46" s="51">
        <v>0</v>
      </c>
      <c r="H46" s="51">
        <f>F46*AO46</f>
        <v>0</v>
      </c>
      <c r="I46" s="51">
        <f>F46*AP46</f>
        <v>0</v>
      </c>
      <c r="J46" s="51">
        <f>F46*G46</f>
        <v>0</v>
      </c>
      <c r="K46" s="52" t="s">
        <v>125</v>
      </c>
      <c r="Z46" s="51">
        <f>IF(AQ46="5",BJ46,0)</f>
        <v>0</v>
      </c>
      <c r="AB46" s="51">
        <f>IF(AQ46="1",BH46,0)</f>
        <v>0</v>
      </c>
      <c r="AC46" s="51">
        <f>IF(AQ46="1",BI46,0)</f>
        <v>0</v>
      </c>
      <c r="AD46" s="51">
        <f>IF(AQ46="7",BH46,0)</f>
        <v>0</v>
      </c>
      <c r="AE46" s="51">
        <f>IF(AQ46="7",BI46,0)</f>
        <v>0</v>
      </c>
      <c r="AF46" s="51">
        <f>IF(AQ46="2",BH46,0)</f>
        <v>0</v>
      </c>
      <c r="AG46" s="51">
        <f>IF(AQ46="2",BI46,0)</f>
        <v>0</v>
      </c>
      <c r="AH46" s="51">
        <f>IF(AQ46="0",BJ46,0)</f>
        <v>0</v>
      </c>
      <c r="AI46" s="35" t="s">
        <v>4</v>
      </c>
      <c r="AJ46" s="51">
        <f>IF(AN46=0,J46,0)</f>
        <v>0</v>
      </c>
      <c r="AK46" s="51">
        <f>IF(AN46=12,J46,0)</f>
        <v>0</v>
      </c>
      <c r="AL46" s="51">
        <f>IF(AN46=21,J46,0)</f>
        <v>0</v>
      </c>
      <c r="AN46" s="51">
        <v>21</v>
      </c>
      <c r="AO46" s="51">
        <f>G46*0.91589272</f>
        <v>0</v>
      </c>
      <c r="AP46" s="51">
        <f>G46*(1-0.91589272)</f>
        <v>0</v>
      </c>
      <c r="AQ46" s="53" t="s">
        <v>121</v>
      </c>
      <c r="AV46" s="51">
        <f>AW46+AX46</f>
        <v>0</v>
      </c>
      <c r="AW46" s="51">
        <f>F46*AO46</f>
        <v>0</v>
      </c>
      <c r="AX46" s="51">
        <f>F46*AP46</f>
        <v>0</v>
      </c>
      <c r="AY46" s="53" t="s">
        <v>182</v>
      </c>
      <c r="AZ46" s="53" t="s">
        <v>183</v>
      </c>
      <c r="BA46" s="35" t="s">
        <v>128</v>
      </c>
      <c r="BC46" s="51">
        <f>AW46+AX46</f>
        <v>0</v>
      </c>
      <c r="BD46" s="51">
        <f>G46/(100-BE46)*100</f>
        <v>0</v>
      </c>
      <c r="BE46" s="51">
        <v>0</v>
      </c>
      <c r="BF46" s="51">
        <f>46</f>
        <v>46</v>
      </c>
      <c r="BH46" s="51">
        <f>F46*AO46</f>
        <v>0</v>
      </c>
      <c r="BI46" s="51">
        <f>F46*AP46</f>
        <v>0</v>
      </c>
      <c r="BJ46" s="51">
        <f>F46*G46</f>
        <v>0</v>
      </c>
      <c r="BK46" s="51"/>
      <c r="BL46" s="51">
        <v>27</v>
      </c>
      <c r="BW46" s="51">
        <v>21</v>
      </c>
      <c r="BX46" s="2" t="s">
        <v>181</v>
      </c>
    </row>
    <row r="47" spans="1:76" ht="26.4" x14ac:dyDescent="0.3">
      <c r="A47" s="54"/>
      <c r="C47" s="55" t="s">
        <v>184</v>
      </c>
      <c r="D47" s="56" t="s">
        <v>138</v>
      </c>
      <c r="F47" s="57">
        <v>10.38</v>
      </c>
      <c r="K47" s="58"/>
    </row>
    <row r="48" spans="1:76" ht="39.6" x14ac:dyDescent="0.3">
      <c r="A48" s="54"/>
      <c r="C48" s="55" t="s">
        <v>185</v>
      </c>
      <c r="D48" s="56" t="s">
        <v>186</v>
      </c>
      <c r="F48" s="57">
        <v>2.37</v>
      </c>
      <c r="K48" s="58"/>
    </row>
    <row r="49" spans="1:76" x14ac:dyDescent="0.3">
      <c r="A49" s="1" t="s">
        <v>187</v>
      </c>
      <c r="B49" s="2" t="s">
        <v>188</v>
      </c>
      <c r="C49" s="71" t="s">
        <v>189</v>
      </c>
      <c r="D49" s="71"/>
      <c r="E49" s="2" t="s">
        <v>190</v>
      </c>
      <c r="F49" s="51">
        <v>0.73</v>
      </c>
      <c r="G49" s="51">
        <v>0</v>
      </c>
      <c r="H49" s="51">
        <f>F49*AO49</f>
        <v>0</v>
      </c>
      <c r="I49" s="51">
        <f>F49*AP49</f>
        <v>0</v>
      </c>
      <c r="J49" s="51">
        <f>F49*G49</f>
        <v>0</v>
      </c>
      <c r="K49" s="52" t="s">
        <v>125</v>
      </c>
      <c r="Z49" s="51">
        <f>IF(AQ49="5",BJ49,0)</f>
        <v>0</v>
      </c>
      <c r="AB49" s="51">
        <f>IF(AQ49="1",BH49,0)</f>
        <v>0</v>
      </c>
      <c r="AC49" s="51">
        <f>IF(AQ49="1",BI49,0)</f>
        <v>0</v>
      </c>
      <c r="AD49" s="51">
        <f>IF(AQ49="7",BH49,0)</f>
        <v>0</v>
      </c>
      <c r="AE49" s="51">
        <f>IF(AQ49="7",BI49,0)</f>
        <v>0</v>
      </c>
      <c r="AF49" s="51">
        <f>IF(AQ49="2",BH49,0)</f>
        <v>0</v>
      </c>
      <c r="AG49" s="51">
        <f>IF(AQ49="2",BI49,0)</f>
        <v>0</v>
      </c>
      <c r="AH49" s="51">
        <f>IF(AQ49="0",BJ49,0)</f>
        <v>0</v>
      </c>
      <c r="AI49" s="35" t="s">
        <v>4</v>
      </c>
      <c r="AJ49" s="51">
        <f>IF(AN49=0,J49,0)</f>
        <v>0</v>
      </c>
      <c r="AK49" s="51">
        <f>IF(AN49=12,J49,0)</f>
        <v>0</v>
      </c>
      <c r="AL49" s="51">
        <f>IF(AN49=21,J49,0)</f>
        <v>0</v>
      </c>
      <c r="AN49" s="51">
        <v>21</v>
      </c>
      <c r="AO49" s="51">
        <f>G49*0.784805805</f>
        <v>0</v>
      </c>
      <c r="AP49" s="51">
        <f>G49*(1-0.784805805)</f>
        <v>0</v>
      </c>
      <c r="AQ49" s="53" t="s">
        <v>121</v>
      </c>
      <c r="AV49" s="51">
        <f>AW49+AX49</f>
        <v>0</v>
      </c>
      <c r="AW49" s="51">
        <f>F49*AO49</f>
        <v>0</v>
      </c>
      <c r="AX49" s="51">
        <f>F49*AP49</f>
        <v>0</v>
      </c>
      <c r="AY49" s="53" t="s">
        <v>182</v>
      </c>
      <c r="AZ49" s="53" t="s">
        <v>183</v>
      </c>
      <c r="BA49" s="35" t="s">
        <v>128</v>
      </c>
      <c r="BC49" s="51">
        <f>AW49+AX49</f>
        <v>0</v>
      </c>
      <c r="BD49" s="51">
        <f>G49/(100-BE49)*100</f>
        <v>0</v>
      </c>
      <c r="BE49" s="51">
        <v>0</v>
      </c>
      <c r="BF49" s="51">
        <f>49</f>
        <v>49</v>
      </c>
      <c r="BH49" s="51">
        <f>F49*AO49</f>
        <v>0</v>
      </c>
      <c r="BI49" s="51">
        <f>F49*AP49</f>
        <v>0</v>
      </c>
      <c r="BJ49" s="51">
        <f>F49*G49</f>
        <v>0</v>
      </c>
      <c r="BK49" s="51"/>
      <c r="BL49" s="51">
        <v>27</v>
      </c>
      <c r="BW49" s="51">
        <v>21</v>
      </c>
      <c r="BX49" s="2" t="s">
        <v>189</v>
      </c>
    </row>
    <row r="50" spans="1:76" x14ac:dyDescent="0.3">
      <c r="A50" s="54"/>
      <c r="C50" s="145" t="s">
        <v>191</v>
      </c>
      <c r="D50" s="145"/>
      <c r="E50" s="145"/>
      <c r="F50" s="145"/>
      <c r="G50" s="145"/>
      <c r="H50" s="145"/>
      <c r="I50" s="145"/>
      <c r="J50" s="145"/>
      <c r="K50" s="146"/>
    </row>
    <row r="51" spans="1:76" ht="26.4" x14ac:dyDescent="0.3">
      <c r="A51" s="54"/>
      <c r="C51" s="55" t="s">
        <v>192</v>
      </c>
      <c r="D51" s="56" t="s">
        <v>138</v>
      </c>
      <c r="F51" s="57">
        <v>0.73</v>
      </c>
      <c r="K51" s="58"/>
    </row>
    <row r="52" spans="1:76" ht="26.4" x14ac:dyDescent="0.3">
      <c r="A52" s="54"/>
      <c r="C52" s="55" t="s">
        <v>4</v>
      </c>
      <c r="D52" s="56" t="s">
        <v>193</v>
      </c>
      <c r="F52" s="57">
        <v>0</v>
      </c>
      <c r="K52" s="58"/>
    </row>
    <row r="53" spans="1:76" x14ac:dyDescent="0.3">
      <c r="A53" s="1" t="s">
        <v>194</v>
      </c>
      <c r="B53" s="2" t="s">
        <v>195</v>
      </c>
      <c r="C53" s="71" t="s">
        <v>196</v>
      </c>
      <c r="D53" s="71"/>
      <c r="E53" s="2" t="s">
        <v>197</v>
      </c>
      <c r="F53" s="51">
        <v>76.900000000000006</v>
      </c>
      <c r="G53" s="51">
        <v>0</v>
      </c>
      <c r="H53" s="51">
        <f>F53*AO53</f>
        <v>0</v>
      </c>
      <c r="I53" s="51">
        <f>F53*AP53</f>
        <v>0</v>
      </c>
      <c r="J53" s="51">
        <f>F53*G53</f>
        <v>0</v>
      </c>
      <c r="K53" s="52" t="s">
        <v>125</v>
      </c>
      <c r="Z53" s="51">
        <f>IF(AQ53="5",BJ53,0)</f>
        <v>0</v>
      </c>
      <c r="AB53" s="51">
        <f>IF(AQ53="1",BH53,0)</f>
        <v>0</v>
      </c>
      <c r="AC53" s="51">
        <f>IF(AQ53="1",BI53,0)</f>
        <v>0</v>
      </c>
      <c r="AD53" s="51">
        <f>IF(AQ53="7",BH53,0)</f>
        <v>0</v>
      </c>
      <c r="AE53" s="51">
        <f>IF(AQ53="7",BI53,0)</f>
        <v>0</v>
      </c>
      <c r="AF53" s="51">
        <f>IF(AQ53="2",BH53,0)</f>
        <v>0</v>
      </c>
      <c r="AG53" s="51">
        <f>IF(AQ53="2",BI53,0)</f>
        <v>0</v>
      </c>
      <c r="AH53" s="51">
        <f>IF(AQ53="0",BJ53,0)</f>
        <v>0</v>
      </c>
      <c r="AI53" s="35" t="s">
        <v>4</v>
      </c>
      <c r="AJ53" s="51">
        <f>IF(AN53=0,J53,0)</f>
        <v>0</v>
      </c>
      <c r="AK53" s="51">
        <f>IF(AN53=12,J53,0)</f>
        <v>0</v>
      </c>
      <c r="AL53" s="51">
        <f>IF(AN53=21,J53,0)</f>
        <v>0</v>
      </c>
      <c r="AN53" s="51">
        <v>21</v>
      </c>
      <c r="AO53" s="51">
        <f>G53*0.7848</f>
        <v>0</v>
      </c>
      <c r="AP53" s="51">
        <f>G53*(1-0.7848)</f>
        <v>0</v>
      </c>
      <c r="AQ53" s="53" t="s">
        <v>121</v>
      </c>
      <c r="AV53" s="51">
        <f>AW53+AX53</f>
        <v>0</v>
      </c>
      <c r="AW53" s="51">
        <f>F53*AO53</f>
        <v>0</v>
      </c>
      <c r="AX53" s="51">
        <f>F53*AP53</f>
        <v>0</v>
      </c>
      <c r="AY53" s="53" t="s">
        <v>182</v>
      </c>
      <c r="AZ53" s="53" t="s">
        <v>183</v>
      </c>
      <c r="BA53" s="35" t="s">
        <v>128</v>
      </c>
      <c r="BC53" s="51">
        <f>AW53+AX53</f>
        <v>0</v>
      </c>
      <c r="BD53" s="51">
        <f>G53/(100-BE53)*100</f>
        <v>0</v>
      </c>
      <c r="BE53" s="51">
        <v>0</v>
      </c>
      <c r="BF53" s="51">
        <f>53</f>
        <v>53</v>
      </c>
      <c r="BH53" s="51">
        <f>F53*AO53</f>
        <v>0</v>
      </c>
      <c r="BI53" s="51">
        <f>F53*AP53</f>
        <v>0</v>
      </c>
      <c r="BJ53" s="51">
        <f>F53*G53</f>
        <v>0</v>
      </c>
      <c r="BK53" s="51"/>
      <c r="BL53" s="51">
        <v>27</v>
      </c>
      <c r="BW53" s="51">
        <v>21</v>
      </c>
      <c r="BX53" s="2" t="s">
        <v>196</v>
      </c>
    </row>
    <row r="54" spans="1:76" x14ac:dyDescent="0.3">
      <c r="A54" s="54"/>
      <c r="C54" s="145" t="s">
        <v>191</v>
      </c>
      <c r="D54" s="145"/>
      <c r="E54" s="145"/>
      <c r="F54" s="145"/>
      <c r="G54" s="145"/>
      <c r="H54" s="145"/>
      <c r="I54" s="145"/>
      <c r="J54" s="145"/>
      <c r="K54" s="146"/>
    </row>
    <row r="55" spans="1:76" ht="26.4" x14ac:dyDescent="0.3">
      <c r="A55" s="54"/>
      <c r="C55" s="55" t="s">
        <v>198</v>
      </c>
      <c r="D55" s="56" t="s">
        <v>138</v>
      </c>
      <c r="F55" s="57">
        <v>76.900000000000006</v>
      </c>
      <c r="K55" s="58"/>
    </row>
    <row r="56" spans="1:76" x14ac:dyDescent="0.3">
      <c r="A56" s="1" t="s">
        <v>199</v>
      </c>
      <c r="B56" s="2" t="s">
        <v>200</v>
      </c>
      <c r="C56" s="71" t="s">
        <v>201</v>
      </c>
      <c r="D56" s="71"/>
      <c r="E56" s="2" t="s">
        <v>124</v>
      </c>
      <c r="F56" s="51">
        <v>3.6</v>
      </c>
      <c r="G56" s="51">
        <v>0</v>
      </c>
      <c r="H56" s="51">
        <f>F56*AO56</f>
        <v>0</v>
      </c>
      <c r="I56" s="51">
        <f>F56*AP56</f>
        <v>0</v>
      </c>
      <c r="J56" s="51">
        <f>F56*G56</f>
        <v>0</v>
      </c>
      <c r="K56" s="52" t="s">
        <v>125</v>
      </c>
      <c r="Z56" s="51">
        <f>IF(AQ56="5",BJ56,0)</f>
        <v>0</v>
      </c>
      <c r="AB56" s="51">
        <f>IF(AQ56="1",BH56,0)</f>
        <v>0</v>
      </c>
      <c r="AC56" s="51">
        <f>IF(AQ56="1",BI56,0)</f>
        <v>0</v>
      </c>
      <c r="AD56" s="51">
        <f>IF(AQ56="7",BH56,0)</f>
        <v>0</v>
      </c>
      <c r="AE56" s="51">
        <f>IF(AQ56="7",BI56,0)</f>
        <v>0</v>
      </c>
      <c r="AF56" s="51">
        <f>IF(AQ56="2",BH56,0)</f>
        <v>0</v>
      </c>
      <c r="AG56" s="51">
        <f>IF(AQ56="2",BI56,0)</f>
        <v>0</v>
      </c>
      <c r="AH56" s="51">
        <f>IF(AQ56="0",BJ56,0)</f>
        <v>0</v>
      </c>
      <c r="AI56" s="35" t="s">
        <v>4</v>
      </c>
      <c r="AJ56" s="51">
        <f>IF(AN56=0,J56,0)</f>
        <v>0</v>
      </c>
      <c r="AK56" s="51">
        <f>IF(AN56=12,J56,0)</f>
        <v>0</v>
      </c>
      <c r="AL56" s="51">
        <f>IF(AN56=21,J56,0)</f>
        <v>0</v>
      </c>
      <c r="AN56" s="51">
        <v>21</v>
      </c>
      <c r="AO56" s="51">
        <f>G56*0.916232485</f>
        <v>0</v>
      </c>
      <c r="AP56" s="51">
        <f>G56*(1-0.916232485)</f>
        <v>0</v>
      </c>
      <c r="AQ56" s="53" t="s">
        <v>121</v>
      </c>
      <c r="AV56" s="51">
        <f>AW56+AX56</f>
        <v>0</v>
      </c>
      <c r="AW56" s="51">
        <f>F56*AO56</f>
        <v>0</v>
      </c>
      <c r="AX56" s="51">
        <f>F56*AP56</f>
        <v>0</v>
      </c>
      <c r="AY56" s="53" t="s">
        <v>182</v>
      </c>
      <c r="AZ56" s="53" t="s">
        <v>183</v>
      </c>
      <c r="BA56" s="35" t="s">
        <v>128</v>
      </c>
      <c r="BC56" s="51">
        <f>AW56+AX56</f>
        <v>0</v>
      </c>
      <c r="BD56" s="51">
        <f>G56/(100-BE56)*100</f>
        <v>0</v>
      </c>
      <c r="BE56" s="51">
        <v>0</v>
      </c>
      <c r="BF56" s="51">
        <f>56</f>
        <v>56</v>
      </c>
      <c r="BH56" s="51">
        <f>F56*AO56</f>
        <v>0</v>
      </c>
      <c r="BI56" s="51">
        <f>F56*AP56</f>
        <v>0</v>
      </c>
      <c r="BJ56" s="51">
        <f>F56*G56</f>
        <v>0</v>
      </c>
      <c r="BK56" s="51"/>
      <c r="BL56" s="51">
        <v>27</v>
      </c>
      <c r="BW56" s="51">
        <v>21</v>
      </c>
      <c r="BX56" s="2" t="s">
        <v>201</v>
      </c>
    </row>
    <row r="57" spans="1:76" x14ac:dyDescent="0.3">
      <c r="A57" s="54"/>
      <c r="C57" s="55" t="s">
        <v>202</v>
      </c>
      <c r="D57" s="56" t="s">
        <v>18</v>
      </c>
      <c r="F57" s="57">
        <v>2.23</v>
      </c>
      <c r="K57" s="58"/>
    </row>
    <row r="58" spans="1:76" x14ac:dyDescent="0.3">
      <c r="A58" s="54"/>
      <c r="C58" s="55" t="s">
        <v>203</v>
      </c>
      <c r="D58" s="56" t="s">
        <v>20</v>
      </c>
      <c r="F58" s="57">
        <v>1.37</v>
      </c>
      <c r="K58" s="58"/>
    </row>
    <row r="59" spans="1:76" x14ac:dyDescent="0.3">
      <c r="A59" s="1" t="s">
        <v>204</v>
      </c>
      <c r="B59" s="2" t="s">
        <v>205</v>
      </c>
      <c r="C59" s="71" t="s">
        <v>206</v>
      </c>
      <c r="D59" s="71"/>
      <c r="E59" s="2" t="s">
        <v>160</v>
      </c>
      <c r="F59" s="51">
        <v>48</v>
      </c>
      <c r="G59" s="51">
        <v>0</v>
      </c>
      <c r="H59" s="51">
        <f>F59*AO59</f>
        <v>0</v>
      </c>
      <c r="I59" s="51">
        <f>F59*AP59</f>
        <v>0</v>
      </c>
      <c r="J59" s="51">
        <f>F59*G59</f>
        <v>0</v>
      </c>
      <c r="K59" s="52" t="s">
        <v>125</v>
      </c>
      <c r="Z59" s="51">
        <f>IF(AQ59="5",BJ59,0)</f>
        <v>0</v>
      </c>
      <c r="AB59" s="51">
        <f>IF(AQ59="1",BH59,0)</f>
        <v>0</v>
      </c>
      <c r="AC59" s="51">
        <f>IF(AQ59="1",BI59,0)</f>
        <v>0</v>
      </c>
      <c r="AD59" s="51">
        <f>IF(AQ59="7",BH59,0)</f>
        <v>0</v>
      </c>
      <c r="AE59" s="51">
        <f>IF(AQ59="7",BI59,0)</f>
        <v>0</v>
      </c>
      <c r="AF59" s="51">
        <f>IF(AQ59="2",BH59,0)</f>
        <v>0</v>
      </c>
      <c r="AG59" s="51">
        <f>IF(AQ59="2",BI59,0)</f>
        <v>0</v>
      </c>
      <c r="AH59" s="51">
        <f>IF(AQ59="0",BJ59,0)</f>
        <v>0</v>
      </c>
      <c r="AI59" s="35" t="s">
        <v>4</v>
      </c>
      <c r="AJ59" s="51">
        <f>IF(AN59=0,J59,0)</f>
        <v>0</v>
      </c>
      <c r="AK59" s="51">
        <f>IF(AN59=12,J59,0)</f>
        <v>0</v>
      </c>
      <c r="AL59" s="51">
        <f>IF(AN59=21,J59,0)</f>
        <v>0</v>
      </c>
      <c r="AN59" s="51">
        <v>21</v>
      </c>
      <c r="AO59" s="51">
        <f>G59*0.6843625</f>
        <v>0</v>
      </c>
      <c r="AP59" s="51">
        <f>G59*(1-0.6843625)</f>
        <v>0</v>
      </c>
      <c r="AQ59" s="53" t="s">
        <v>121</v>
      </c>
      <c r="AV59" s="51">
        <f>AW59+AX59</f>
        <v>0</v>
      </c>
      <c r="AW59" s="51">
        <f>F59*AO59</f>
        <v>0</v>
      </c>
      <c r="AX59" s="51">
        <f>F59*AP59</f>
        <v>0</v>
      </c>
      <c r="AY59" s="53" t="s">
        <v>182</v>
      </c>
      <c r="AZ59" s="53" t="s">
        <v>183</v>
      </c>
      <c r="BA59" s="35" t="s">
        <v>128</v>
      </c>
      <c r="BC59" s="51">
        <f>AW59+AX59</f>
        <v>0</v>
      </c>
      <c r="BD59" s="51">
        <f>G59/(100-BE59)*100</f>
        <v>0</v>
      </c>
      <c r="BE59" s="51">
        <v>0</v>
      </c>
      <c r="BF59" s="51">
        <f>59</f>
        <v>59</v>
      </c>
      <c r="BH59" s="51">
        <f>F59*AO59</f>
        <v>0</v>
      </c>
      <c r="BI59" s="51">
        <f>F59*AP59</f>
        <v>0</v>
      </c>
      <c r="BJ59" s="51">
        <f>F59*G59</f>
        <v>0</v>
      </c>
      <c r="BK59" s="51"/>
      <c r="BL59" s="51">
        <v>27</v>
      </c>
      <c r="BW59" s="51">
        <v>21</v>
      </c>
      <c r="BX59" s="2" t="s">
        <v>206</v>
      </c>
    </row>
    <row r="60" spans="1:76" x14ac:dyDescent="0.3">
      <c r="A60" s="54"/>
      <c r="C60" s="145" t="s">
        <v>207</v>
      </c>
      <c r="D60" s="145"/>
      <c r="E60" s="145"/>
      <c r="F60" s="145"/>
      <c r="G60" s="145"/>
      <c r="H60" s="145"/>
      <c r="I60" s="145"/>
      <c r="J60" s="145"/>
      <c r="K60" s="146"/>
    </row>
    <row r="61" spans="1:76" x14ac:dyDescent="0.3">
      <c r="A61" s="54"/>
      <c r="C61" s="55" t="s">
        <v>208</v>
      </c>
      <c r="D61" s="56" t="s">
        <v>18</v>
      </c>
      <c r="F61" s="57">
        <v>29.76</v>
      </c>
      <c r="K61" s="58"/>
    </row>
    <row r="62" spans="1:76" x14ac:dyDescent="0.3">
      <c r="A62" s="54"/>
      <c r="C62" s="55" t="s">
        <v>209</v>
      </c>
      <c r="D62" s="56" t="s">
        <v>20</v>
      </c>
      <c r="F62" s="57">
        <v>18.239999999999998</v>
      </c>
      <c r="K62" s="58"/>
    </row>
    <row r="63" spans="1:76" x14ac:dyDescent="0.3">
      <c r="A63" s="1" t="s">
        <v>210</v>
      </c>
      <c r="B63" s="2" t="s">
        <v>211</v>
      </c>
      <c r="C63" s="71" t="s">
        <v>212</v>
      </c>
      <c r="D63" s="71"/>
      <c r="E63" s="2" t="s">
        <v>160</v>
      </c>
      <c r="F63" s="51">
        <v>48</v>
      </c>
      <c r="G63" s="51">
        <v>0</v>
      </c>
      <c r="H63" s="51">
        <f>F63*AO63</f>
        <v>0</v>
      </c>
      <c r="I63" s="51">
        <f>F63*AP63</f>
        <v>0</v>
      </c>
      <c r="J63" s="51">
        <f>F63*G63</f>
        <v>0</v>
      </c>
      <c r="K63" s="52" t="s">
        <v>125</v>
      </c>
      <c r="Z63" s="51">
        <f>IF(AQ63="5",BJ63,0)</f>
        <v>0</v>
      </c>
      <c r="AB63" s="51">
        <f>IF(AQ63="1",BH63,0)</f>
        <v>0</v>
      </c>
      <c r="AC63" s="51">
        <f>IF(AQ63="1",BI63,0)</f>
        <v>0</v>
      </c>
      <c r="AD63" s="51">
        <f>IF(AQ63="7",BH63,0)</f>
        <v>0</v>
      </c>
      <c r="AE63" s="51">
        <f>IF(AQ63="7",BI63,0)</f>
        <v>0</v>
      </c>
      <c r="AF63" s="51">
        <f>IF(AQ63="2",BH63,0)</f>
        <v>0</v>
      </c>
      <c r="AG63" s="51">
        <f>IF(AQ63="2",BI63,0)</f>
        <v>0</v>
      </c>
      <c r="AH63" s="51">
        <f>IF(AQ63="0",BJ63,0)</f>
        <v>0</v>
      </c>
      <c r="AI63" s="35" t="s">
        <v>4</v>
      </c>
      <c r="AJ63" s="51">
        <f>IF(AN63=0,J63,0)</f>
        <v>0</v>
      </c>
      <c r="AK63" s="51">
        <f>IF(AN63=12,J63,0)</f>
        <v>0</v>
      </c>
      <c r="AL63" s="51">
        <f>IF(AN63=21,J63,0)</f>
        <v>0</v>
      </c>
      <c r="AN63" s="51">
        <v>21</v>
      </c>
      <c r="AO63" s="51">
        <f>G63*0</f>
        <v>0</v>
      </c>
      <c r="AP63" s="51">
        <f>G63*(1-0)</f>
        <v>0</v>
      </c>
      <c r="AQ63" s="53" t="s">
        <v>121</v>
      </c>
      <c r="AV63" s="51">
        <f>AW63+AX63</f>
        <v>0</v>
      </c>
      <c r="AW63" s="51">
        <f>F63*AO63</f>
        <v>0</v>
      </c>
      <c r="AX63" s="51">
        <f>F63*AP63</f>
        <v>0</v>
      </c>
      <c r="AY63" s="53" t="s">
        <v>182</v>
      </c>
      <c r="AZ63" s="53" t="s">
        <v>183</v>
      </c>
      <c r="BA63" s="35" t="s">
        <v>128</v>
      </c>
      <c r="BC63" s="51">
        <f>AW63+AX63</f>
        <v>0</v>
      </c>
      <c r="BD63" s="51">
        <f>G63/(100-BE63)*100</f>
        <v>0</v>
      </c>
      <c r="BE63" s="51">
        <v>0</v>
      </c>
      <c r="BF63" s="51">
        <f>63</f>
        <v>63</v>
      </c>
      <c r="BH63" s="51">
        <f>F63*AO63</f>
        <v>0</v>
      </c>
      <c r="BI63" s="51">
        <f>F63*AP63</f>
        <v>0</v>
      </c>
      <c r="BJ63" s="51">
        <f>F63*G63</f>
        <v>0</v>
      </c>
      <c r="BK63" s="51"/>
      <c r="BL63" s="51">
        <v>27</v>
      </c>
      <c r="BW63" s="51">
        <v>21</v>
      </c>
      <c r="BX63" s="2" t="s">
        <v>212</v>
      </c>
    </row>
    <row r="64" spans="1:76" x14ac:dyDescent="0.3">
      <c r="A64" s="54"/>
      <c r="C64" s="55" t="s">
        <v>208</v>
      </c>
      <c r="D64" s="56" t="s">
        <v>18</v>
      </c>
      <c r="F64" s="57">
        <v>29.76</v>
      </c>
      <c r="K64" s="58"/>
    </row>
    <row r="65" spans="1:76" x14ac:dyDescent="0.3">
      <c r="A65" s="54"/>
      <c r="C65" s="55" t="s">
        <v>209</v>
      </c>
      <c r="D65" s="56" t="s">
        <v>20</v>
      </c>
      <c r="F65" s="57">
        <v>18.239999999999998</v>
      </c>
      <c r="K65" s="58"/>
    </row>
    <row r="66" spans="1:76" x14ac:dyDescent="0.3">
      <c r="A66" s="48" t="s">
        <v>4</v>
      </c>
      <c r="B66" s="26" t="s">
        <v>213</v>
      </c>
      <c r="C66" s="142" t="s">
        <v>214</v>
      </c>
      <c r="D66" s="142"/>
      <c r="E66" s="49" t="s">
        <v>80</v>
      </c>
      <c r="F66" s="49" t="s">
        <v>80</v>
      </c>
      <c r="G66" s="49" t="s">
        <v>80</v>
      </c>
      <c r="H66" s="29">
        <f>SUM(H67:H67)</f>
        <v>0</v>
      </c>
      <c r="I66" s="29">
        <f>SUM(I67:I67)</f>
        <v>0</v>
      </c>
      <c r="J66" s="29">
        <f>SUM(J67:J67)</f>
        <v>0</v>
      </c>
      <c r="K66" s="50" t="s">
        <v>4</v>
      </c>
      <c r="AI66" s="35" t="s">
        <v>4</v>
      </c>
      <c r="AS66" s="29">
        <f>SUM(AJ67:AJ67)</f>
        <v>0</v>
      </c>
      <c r="AT66" s="29">
        <f>SUM(AK67:AK67)</f>
        <v>0</v>
      </c>
      <c r="AU66" s="29">
        <f>SUM(AL67:AL67)</f>
        <v>0</v>
      </c>
    </row>
    <row r="67" spans="1:76" x14ac:dyDescent="0.3">
      <c r="A67" s="1" t="s">
        <v>119</v>
      </c>
      <c r="B67" s="2" t="s">
        <v>215</v>
      </c>
      <c r="C67" s="71" t="s">
        <v>216</v>
      </c>
      <c r="D67" s="71"/>
      <c r="E67" s="2" t="s">
        <v>217</v>
      </c>
      <c r="F67" s="51">
        <v>48</v>
      </c>
      <c r="G67" s="51">
        <v>0</v>
      </c>
      <c r="H67" s="51">
        <f>F67*AO67</f>
        <v>0</v>
      </c>
      <c r="I67" s="51">
        <f>F67*AP67</f>
        <v>0</v>
      </c>
      <c r="J67" s="51">
        <f>F67*G67</f>
        <v>0</v>
      </c>
      <c r="K67" s="52" t="s">
        <v>125</v>
      </c>
      <c r="Z67" s="51">
        <f>IF(AQ67="5",BJ67,0)</f>
        <v>0</v>
      </c>
      <c r="AB67" s="51">
        <f>IF(AQ67="1",BH67,0)</f>
        <v>0</v>
      </c>
      <c r="AC67" s="51">
        <f>IF(AQ67="1",BI67,0)</f>
        <v>0</v>
      </c>
      <c r="AD67" s="51">
        <f>IF(AQ67="7",BH67,0)</f>
        <v>0</v>
      </c>
      <c r="AE67" s="51">
        <f>IF(AQ67="7",BI67,0)</f>
        <v>0</v>
      </c>
      <c r="AF67" s="51">
        <f>IF(AQ67="2",BH67,0)</f>
        <v>0</v>
      </c>
      <c r="AG67" s="51">
        <f>IF(AQ67="2",BI67,0)</f>
        <v>0</v>
      </c>
      <c r="AH67" s="51">
        <f>IF(AQ67="0",BJ67,0)</f>
        <v>0</v>
      </c>
      <c r="AI67" s="35" t="s">
        <v>4</v>
      </c>
      <c r="AJ67" s="51">
        <f>IF(AN67=0,J67,0)</f>
        <v>0</v>
      </c>
      <c r="AK67" s="51">
        <f>IF(AN67=12,J67,0)</f>
        <v>0</v>
      </c>
      <c r="AL67" s="51">
        <f>IF(AN67=21,J67,0)</f>
        <v>0</v>
      </c>
      <c r="AN67" s="51">
        <v>21</v>
      </c>
      <c r="AO67" s="51">
        <f>G67*0.527485842</f>
        <v>0</v>
      </c>
      <c r="AP67" s="51">
        <f>G67*(1-0.527485842)</f>
        <v>0</v>
      </c>
      <c r="AQ67" s="53" t="s">
        <v>121</v>
      </c>
      <c r="AV67" s="51">
        <f>AW67+AX67</f>
        <v>0</v>
      </c>
      <c r="AW67" s="51">
        <f>F67*AO67</f>
        <v>0</v>
      </c>
      <c r="AX67" s="51">
        <f>F67*AP67</f>
        <v>0</v>
      </c>
      <c r="AY67" s="53" t="s">
        <v>218</v>
      </c>
      <c r="AZ67" s="53" t="s">
        <v>219</v>
      </c>
      <c r="BA67" s="35" t="s">
        <v>128</v>
      </c>
      <c r="BC67" s="51">
        <f>AW67+AX67</f>
        <v>0</v>
      </c>
      <c r="BD67" s="51">
        <f>G67/(100-BE67)*100</f>
        <v>0</v>
      </c>
      <c r="BE67" s="51">
        <v>0</v>
      </c>
      <c r="BF67" s="51">
        <f>67</f>
        <v>67</v>
      </c>
      <c r="BH67" s="51">
        <f>F67*AO67</f>
        <v>0</v>
      </c>
      <c r="BI67" s="51">
        <f>F67*AP67</f>
        <v>0</v>
      </c>
      <c r="BJ67" s="51">
        <f>F67*G67</f>
        <v>0</v>
      </c>
      <c r="BK67" s="51"/>
      <c r="BL67" s="51">
        <v>31</v>
      </c>
      <c r="BW67" s="51">
        <v>21</v>
      </c>
      <c r="BX67" s="2" t="s">
        <v>216</v>
      </c>
    </row>
    <row r="68" spans="1:76" x14ac:dyDescent="0.3">
      <c r="A68" s="54"/>
      <c r="C68" s="145" t="s">
        <v>220</v>
      </c>
      <c r="D68" s="145"/>
      <c r="E68" s="145"/>
      <c r="F68" s="145"/>
      <c r="G68" s="145"/>
      <c r="H68" s="145"/>
      <c r="I68" s="145"/>
      <c r="J68" s="145"/>
      <c r="K68" s="146"/>
    </row>
    <row r="69" spans="1:76" x14ac:dyDescent="0.3">
      <c r="A69" s="54"/>
      <c r="C69" s="55" t="s">
        <v>221</v>
      </c>
      <c r="D69" s="56" t="s">
        <v>18</v>
      </c>
      <c r="F69" s="57">
        <v>30</v>
      </c>
      <c r="K69" s="58"/>
    </row>
    <row r="70" spans="1:76" x14ac:dyDescent="0.3">
      <c r="A70" s="54"/>
      <c r="C70" s="55" t="s">
        <v>222</v>
      </c>
      <c r="D70" s="56" t="s">
        <v>20</v>
      </c>
      <c r="F70" s="57">
        <v>18</v>
      </c>
      <c r="K70" s="58"/>
    </row>
    <row r="71" spans="1:76" x14ac:dyDescent="0.3">
      <c r="A71" s="48" t="s">
        <v>4</v>
      </c>
      <c r="B71" s="26" t="s">
        <v>223</v>
      </c>
      <c r="C71" s="142" t="s">
        <v>224</v>
      </c>
      <c r="D71" s="142"/>
      <c r="E71" s="49" t="s">
        <v>80</v>
      </c>
      <c r="F71" s="49" t="s">
        <v>80</v>
      </c>
      <c r="G71" s="49" t="s">
        <v>80</v>
      </c>
      <c r="H71" s="29">
        <f>SUM(H72:H80)</f>
        <v>0</v>
      </c>
      <c r="I71" s="29">
        <f>SUM(I72:I80)</f>
        <v>0</v>
      </c>
      <c r="J71" s="29">
        <f>SUM(J72:J80)</f>
        <v>0</v>
      </c>
      <c r="K71" s="50" t="s">
        <v>4</v>
      </c>
      <c r="AI71" s="35" t="s">
        <v>4</v>
      </c>
      <c r="AS71" s="29">
        <f>SUM(AJ72:AJ80)</f>
        <v>0</v>
      </c>
      <c r="AT71" s="29">
        <f>SUM(AK72:AK80)</f>
        <v>0</v>
      </c>
      <c r="AU71" s="29">
        <f>SUM(AL72:AL80)</f>
        <v>0</v>
      </c>
    </row>
    <row r="72" spans="1:76" x14ac:dyDescent="0.3">
      <c r="A72" s="1" t="s">
        <v>225</v>
      </c>
      <c r="B72" s="2" t="s">
        <v>226</v>
      </c>
      <c r="C72" s="71" t="s">
        <v>227</v>
      </c>
      <c r="D72" s="71"/>
      <c r="E72" s="2" t="s">
        <v>228</v>
      </c>
      <c r="F72" s="51">
        <v>69</v>
      </c>
      <c r="G72" s="51">
        <v>0</v>
      </c>
      <c r="H72" s="51">
        <f>F72*AO72</f>
        <v>0</v>
      </c>
      <c r="I72" s="51">
        <f>F72*AP72</f>
        <v>0</v>
      </c>
      <c r="J72" s="51">
        <f>F72*G72</f>
        <v>0</v>
      </c>
      <c r="K72" s="52" t="s">
        <v>125</v>
      </c>
      <c r="Z72" s="51">
        <f>IF(AQ72="5",BJ72,0)</f>
        <v>0</v>
      </c>
      <c r="AB72" s="51">
        <f>IF(AQ72="1",BH72,0)</f>
        <v>0</v>
      </c>
      <c r="AC72" s="51">
        <f>IF(AQ72="1",BI72,0)</f>
        <v>0</v>
      </c>
      <c r="AD72" s="51">
        <f>IF(AQ72="7",BH72,0)</f>
        <v>0</v>
      </c>
      <c r="AE72" s="51">
        <f>IF(AQ72="7",BI72,0)</f>
        <v>0</v>
      </c>
      <c r="AF72" s="51">
        <f>IF(AQ72="2",BH72,0)</f>
        <v>0</v>
      </c>
      <c r="AG72" s="51">
        <f>IF(AQ72="2",BI72,0)</f>
        <v>0</v>
      </c>
      <c r="AH72" s="51">
        <f>IF(AQ72="0",BJ72,0)</f>
        <v>0</v>
      </c>
      <c r="AI72" s="35" t="s">
        <v>4</v>
      </c>
      <c r="AJ72" s="51">
        <f>IF(AN72=0,J72,0)</f>
        <v>0</v>
      </c>
      <c r="AK72" s="51">
        <f>IF(AN72=12,J72,0)</f>
        <v>0</v>
      </c>
      <c r="AL72" s="51">
        <f>IF(AN72=21,J72,0)</f>
        <v>0</v>
      </c>
      <c r="AN72" s="51">
        <v>21</v>
      </c>
      <c r="AO72" s="51">
        <f>G72*0.402960969</f>
        <v>0</v>
      </c>
      <c r="AP72" s="51">
        <f>G72*(1-0.402960969)</f>
        <v>0</v>
      </c>
      <c r="AQ72" s="53" t="s">
        <v>121</v>
      </c>
      <c r="AV72" s="51">
        <f>AW72+AX72</f>
        <v>0</v>
      </c>
      <c r="AW72" s="51">
        <f>F72*AO72</f>
        <v>0</v>
      </c>
      <c r="AX72" s="51">
        <f>F72*AP72</f>
        <v>0</v>
      </c>
      <c r="AY72" s="53" t="s">
        <v>229</v>
      </c>
      <c r="AZ72" s="53" t="s">
        <v>219</v>
      </c>
      <c r="BA72" s="35" t="s">
        <v>128</v>
      </c>
      <c r="BC72" s="51">
        <f>AW72+AX72</f>
        <v>0</v>
      </c>
      <c r="BD72" s="51">
        <f>G72/(100-BE72)*100</f>
        <v>0</v>
      </c>
      <c r="BE72" s="51">
        <v>0</v>
      </c>
      <c r="BF72" s="51">
        <f>72</f>
        <v>72</v>
      </c>
      <c r="BH72" s="51">
        <f>F72*AO72</f>
        <v>0</v>
      </c>
      <c r="BI72" s="51">
        <f>F72*AP72</f>
        <v>0</v>
      </c>
      <c r="BJ72" s="51">
        <f>F72*G72</f>
        <v>0</v>
      </c>
      <c r="BK72" s="51"/>
      <c r="BL72" s="51">
        <v>33</v>
      </c>
      <c r="BW72" s="51">
        <v>21</v>
      </c>
      <c r="BX72" s="2" t="s">
        <v>227</v>
      </c>
    </row>
    <row r="73" spans="1:76" x14ac:dyDescent="0.3">
      <c r="A73" s="54"/>
      <c r="C73" s="55" t="s">
        <v>230</v>
      </c>
      <c r="D73" s="56" t="s">
        <v>16</v>
      </c>
      <c r="F73" s="57">
        <v>19</v>
      </c>
      <c r="K73" s="58"/>
    </row>
    <row r="74" spans="1:76" x14ac:dyDescent="0.3">
      <c r="A74" s="54"/>
      <c r="C74" s="55" t="s">
        <v>213</v>
      </c>
      <c r="D74" s="56" t="s">
        <v>18</v>
      </c>
      <c r="F74" s="57">
        <v>31</v>
      </c>
      <c r="K74" s="58"/>
    </row>
    <row r="75" spans="1:76" x14ac:dyDescent="0.3">
      <c r="A75" s="54"/>
      <c r="C75" s="55" t="s">
        <v>230</v>
      </c>
      <c r="D75" s="56" t="s">
        <v>20</v>
      </c>
      <c r="F75" s="57">
        <v>19</v>
      </c>
      <c r="K75" s="58"/>
    </row>
    <row r="76" spans="1:76" ht="26.4" x14ac:dyDescent="0.3">
      <c r="A76" s="59" t="s">
        <v>231</v>
      </c>
      <c r="B76" s="27" t="s">
        <v>232</v>
      </c>
      <c r="C76" s="144" t="s">
        <v>233</v>
      </c>
      <c r="D76" s="144"/>
      <c r="E76" s="27" t="s">
        <v>228</v>
      </c>
      <c r="F76" s="60">
        <v>69</v>
      </c>
      <c r="G76" s="60">
        <v>0</v>
      </c>
      <c r="H76" s="60">
        <f>F76*AO76</f>
        <v>0</v>
      </c>
      <c r="I76" s="60">
        <f>F76*AP76</f>
        <v>0</v>
      </c>
      <c r="J76" s="60">
        <f>F76*G76</f>
        <v>0</v>
      </c>
      <c r="K76" s="61" t="s">
        <v>125</v>
      </c>
      <c r="Z76" s="51">
        <f>IF(AQ76="5",BJ76,0)</f>
        <v>0</v>
      </c>
      <c r="AB76" s="51">
        <f>IF(AQ76="1",BH76,0)</f>
        <v>0</v>
      </c>
      <c r="AC76" s="51">
        <f>IF(AQ76="1",BI76,0)</f>
        <v>0</v>
      </c>
      <c r="AD76" s="51">
        <f>IF(AQ76="7",BH76,0)</f>
        <v>0</v>
      </c>
      <c r="AE76" s="51">
        <f>IF(AQ76="7",BI76,0)</f>
        <v>0</v>
      </c>
      <c r="AF76" s="51">
        <f>IF(AQ76="2",BH76,0)</f>
        <v>0</v>
      </c>
      <c r="AG76" s="51">
        <f>IF(AQ76="2",BI76,0)</f>
        <v>0</v>
      </c>
      <c r="AH76" s="51">
        <f>IF(AQ76="0",BJ76,0)</f>
        <v>0</v>
      </c>
      <c r="AI76" s="35" t="s">
        <v>4</v>
      </c>
      <c r="AJ76" s="60">
        <f>IF(AN76=0,J76,0)</f>
        <v>0</v>
      </c>
      <c r="AK76" s="60">
        <f>IF(AN76=12,J76,0)</f>
        <v>0</v>
      </c>
      <c r="AL76" s="60">
        <f>IF(AN76=21,J76,0)</f>
        <v>0</v>
      </c>
      <c r="AN76" s="51">
        <v>21</v>
      </c>
      <c r="AO76" s="51">
        <f>G76*1</f>
        <v>0</v>
      </c>
      <c r="AP76" s="51">
        <f>G76*(1-1)</f>
        <v>0</v>
      </c>
      <c r="AQ76" s="62" t="s">
        <v>121</v>
      </c>
      <c r="AV76" s="51">
        <f>AW76+AX76</f>
        <v>0</v>
      </c>
      <c r="AW76" s="51">
        <f>F76*AO76</f>
        <v>0</v>
      </c>
      <c r="AX76" s="51">
        <f>F76*AP76</f>
        <v>0</v>
      </c>
      <c r="AY76" s="53" t="s">
        <v>229</v>
      </c>
      <c r="AZ76" s="53" t="s">
        <v>219</v>
      </c>
      <c r="BA76" s="35" t="s">
        <v>128</v>
      </c>
      <c r="BC76" s="51">
        <f>AW76+AX76</f>
        <v>0</v>
      </c>
      <c r="BD76" s="51">
        <f>G76/(100-BE76)*100</f>
        <v>0</v>
      </c>
      <c r="BE76" s="51">
        <v>0</v>
      </c>
      <c r="BF76" s="51">
        <f>76</f>
        <v>76</v>
      </c>
      <c r="BH76" s="60">
        <f>F76*AO76</f>
        <v>0</v>
      </c>
      <c r="BI76" s="60">
        <f>F76*AP76</f>
        <v>0</v>
      </c>
      <c r="BJ76" s="60">
        <f>F76*G76</f>
        <v>0</v>
      </c>
      <c r="BK76" s="60"/>
      <c r="BL76" s="51">
        <v>33</v>
      </c>
      <c r="BW76" s="51">
        <v>21</v>
      </c>
      <c r="BX76" s="27" t="s">
        <v>233</v>
      </c>
    </row>
    <row r="77" spans="1:76" x14ac:dyDescent="0.3">
      <c r="A77" s="54"/>
      <c r="C77" s="55" t="s">
        <v>230</v>
      </c>
      <c r="D77" s="56" t="s">
        <v>16</v>
      </c>
      <c r="F77" s="57">
        <v>19</v>
      </c>
      <c r="K77" s="58"/>
    </row>
    <row r="78" spans="1:76" x14ac:dyDescent="0.3">
      <c r="A78" s="54"/>
      <c r="C78" s="55" t="s">
        <v>213</v>
      </c>
      <c r="D78" s="56" t="s">
        <v>18</v>
      </c>
      <c r="F78" s="57">
        <v>31</v>
      </c>
      <c r="K78" s="58"/>
    </row>
    <row r="79" spans="1:76" x14ac:dyDescent="0.3">
      <c r="A79" s="54"/>
      <c r="C79" s="55" t="s">
        <v>230</v>
      </c>
      <c r="D79" s="56" t="s">
        <v>20</v>
      </c>
      <c r="F79" s="57">
        <v>19</v>
      </c>
      <c r="K79" s="58"/>
    </row>
    <row r="80" spans="1:76" x14ac:dyDescent="0.3">
      <c r="A80" s="1" t="s">
        <v>234</v>
      </c>
      <c r="B80" s="2" t="s">
        <v>235</v>
      </c>
      <c r="C80" s="71" t="s">
        <v>236</v>
      </c>
      <c r="D80" s="71"/>
      <c r="E80" s="2" t="s">
        <v>217</v>
      </c>
      <c r="F80" s="51">
        <v>2</v>
      </c>
      <c r="G80" s="51">
        <v>0</v>
      </c>
      <c r="H80" s="51">
        <f>F80*AO80</f>
        <v>0</v>
      </c>
      <c r="I80" s="51">
        <f>F80*AP80</f>
        <v>0</v>
      </c>
      <c r="J80" s="51">
        <f>F80*G80</f>
        <v>0</v>
      </c>
      <c r="K80" s="52" t="s">
        <v>125</v>
      </c>
      <c r="Z80" s="51">
        <f>IF(AQ80="5",BJ80,0)</f>
        <v>0</v>
      </c>
      <c r="AB80" s="51">
        <f>IF(AQ80="1",BH80,0)</f>
        <v>0</v>
      </c>
      <c r="AC80" s="51">
        <f>IF(AQ80="1",BI80,0)</f>
        <v>0</v>
      </c>
      <c r="AD80" s="51">
        <f>IF(AQ80="7",BH80,0)</f>
        <v>0</v>
      </c>
      <c r="AE80" s="51">
        <f>IF(AQ80="7",BI80,0)</f>
        <v>0</v>
      </c>
      <c r="AF80" s="51">
        <f>IF(AQ80="2",BH80,0)</f>
        <v>0</v>
      </c>
      <c r="AG80" s="51">
        <f>IF(AQ80="2",BI80,0)</f>
        <v>0</v>
      </c>
      <c r="AH80" s="51">
        <f>IF(AQ80="0",BJ80,0)</f>
        <v>0</v>
      </c>
      <c r="AI80" s="35" t="s">
        <v>4</v>
      </c>
      <c r="AJ80" s="51">
        <f>IF(AN80=0,J80,0)</f>
        <v>0</v>
      </c>
      <c r="AK80" s="51">
        <f>IF(AN80=12,J80,0)</f>
        <v>0</v>
      </c>
      <c r="AL80" s="51">
        <f>IF(AN80=21,J80,0)</f>
        <v>0</v>
      </c>
      <c r="AN80" s="51">
        <v>21</v>
      </c>
      <c r="AO80" s="51">
        <f>G80*0.40296</f>
        <v>0</v>
      </c>
      <c r="AP80" s="51">
        <f>G80*(1-0.40296)</f>
        <v>0</v>
      </c>
      <c r="AQ80" s="53" t="s">
        <v>121</v>
      </c>
      <c r="AV80" s="51">
        <f>AW80+AX80</f>
        <v>0</v>
      </c>
      <c r="AW80" s="51">
        <f>F80*AO80</f>
        <v>0</v>
      </c>
      <c r="AX80" s="51">
        <f>F80*AP80</f>
        <v>0</v>
      </c>
      <c r="AY80" s="53" t="s">
        <v>229</v>
      </c>
      <c r="AZ80" s="53" t="s">
        <v>219</v>
      </c>
      <c r="BA80" s="35" t="s">
        <v>128</v>
      </c>
      <c r="BC80" s="51">
        <f>AW80+AX80</f>
        <v>0</v>
      </c>
      <c r="BD80" s="51">
        <f>G80/(100-BE80)*100</f>
        <v>0</v>
      </c>
      <c r="BE80" s="51">
        <v>0</v>
      </c>
      <c r="BF80" s="51">
        <f>80</f>
        <v>80</v>
      </c>
      <c r="BH80" s="51">
        <f>F80*AO80</f>
        <v>0</v>
      </c>
      <c r="BI80" s="51">
        <f>F80*AP80</f>
        <v>0</v>
      </c>
      <c r="BJ80" s="51">
        <f>F80*G80</f>
        <v>0</v>
      </c>
      <c r="BK80" s="51"/>
      <c r="BL80" s="51">
        <v>33</v>
      </c>
      <c r="BW80" s="51">
        <v>21</v>
      </c>
      <c r="BX80" s="2" t="s">
        <v>236</v>
      </c>
    </row>
    <row r="81" spans="1:76" ht="30.75" customHeight="1" x14ac:dyDescent="0.3">
      <c r="A81" s="54"/>
      <c r="C81" s="145" t="s">
        <v>237</v>
      </c>
      <c r="D81" s="145"/>
      <c r="E81" s="145"/>
      <c r="F81" s="145"/>
      <c r="G81" s="145"/>
      <c r="H81" s="145"/>
      <c r="I81" s="145"/>
      <c r="J81" s="145"/>
      <c r="K81" s="146"/>
    </row>
    <row r="82" spans="1:76" x14ac:dyDescent="0.3">
      <c r="A82" s="54"/>
      <c r="C82" s="55" t="s">
        <v>145</v>
      </c>
      <c r="D82" s="56" t="s">
        <v>238</v>
      </c>
      <c r="F82" s="57">
        <v>2</v>
      </c>
      <c r="K82" s="58"/>
    </row>
    <row r="83" spans="1:76" x14ac:dyDescent="0.3">
      <c r="A83" s="48" t="s">
        <v>4</v>
      </c>
      <c r="B83" s="26" t="s">
        <v>239</v>
      </c>
      <c r="C83" s="142" t="s">
        <v>240</v>
      </c>
      <c r="D83" s="142"/>
      <c r="E83" s="49" t="s">
        <v>80</v>
      </c>
      <c r="F83" s="49" t="s">
        <v>80</v>
      </c>
      <c r="G83" s="49" t="s">
        <v>80</v>
      </c>
      <c r="H83" s="29">
        <f>SUM(H84:H90)</f>
        <v>0</v>
      </c>
      <c r="I83" s="29">
        <f>SUM(I84:I90)</f>
        <v>0</v>
      </c>
      <c r="J83" s="29">
        <f>SUM(J84:J90)</f>
        <v>0</v>
      </c>
      <c r="K83" s="50" t="s">
        <v>4</v>
      </c>
      <c r="AI83" s="35" t="s">
        <v>4</v>
      </c>
      <c r="AS83" s="29">
        <f>SUM(AJ84:AJ90)</f>
        <v>0</v>
      </c>
      <c r="AT83" s="29">
        <f>SUM(AK84:AK90)</f>
        <v>0</v>
      </c>
      <c r="AU83" s="29">
        <f>SUM(AL84:AL90)</f>
        <v>0</v>
      </c>
    </row>
    <row r="84" spans="1:76" x14ac:dyDescent="0.3">
      <c r="A84" s="1" t="s">
        <v>143</v>
      </c>
      <c r="B84" s="2" t="s">
        <v>241</v>
      </c>
      <c r="C84" s="71" t="s">
        <v>242</v>
      </c>
      <c r="D84" s="71"/>
      <c r="E84" s="2" t="s">
        <v>160</v>
      </c>
      <c r="F84" s="51">
        <v>29.22</v>
      </c>
      <c r="G84" s="51">
        <v>0</v>
      </c>
      <c r="H84" s="51">
        <f>F84*AO84</f>
        <v>0</v>
      </c>
      <c r="I84" s="51">
        <f>F84*AP84</f>
        <v>0</v>
      </c>
      <c r="J84" s="51">
        <f>F84*G84</f>
        <v>0</v>
      </c>
      <c r="K84" s="52" t="s">
        <v>125</v>
      </c>
      <c r="Z84" s="51">
        <f>IF(AQ84="5",BJ84,0)</f>
        <v>0</v>
      </c>
      <c r="AB84" s="51">
        <f>IF(AQ84="1",BH84,0)</f>
        <v>0</v>
      </c>
      <c r="AC84" s="51">
        <f>IF(AQ84="1",BI84,0)</f>
        <v>0</v>
      </c>
      <c r="AD84" s="51">
        <f>IF(AQ84="7",BH84,0)</f>
        <v>0</v>
      </c>
      <c r="AE84" s="51">
        <f>IF(AQ84="7",BI84,0)</f>
        <v>0</v>
      </c>
      <c r="AF84" s="51">
        <f>IF(AQ84="2",BH84,0)</f>
        <v>0</v>
      </c>
      <c r="AG84" s="51">
        <f>IF(AQ84="2",BI84,0)</f>
        <v>0</v>
      </c>
      <c r="AH84" s="51">
        <f>IF(AQ84="0",BJ84,0)</f>
        <v>0</v>
      </c>
      <c r="AI84" s="35" t="s">
        <v>4</v>
      </c>
      <c r="AJ84" s="51">
        <f>IF(AN84=0,J84,0)</f>
        <v>0</v>
      </c>
      <c r="AK84" s="51">
        <f>IF(AN84=12,J84,0)</f>
        <v>0</v>
      </c>
      <c r="AL84" s="51">
        <f>IF(AN84=21,J84,0)</f>
        <v>0</v>
      </c>
      <c r="AN84" s="51">
        <v>21</v>
      </c>
      <c r="AO84" s="51">
        <f>G84*0.602491228</f>
        <v>0</v>
      </c>
      <c r="AP84" s="51">
        <f>G84*(1-0.602491228)</f>
        <v>0</v>
      </c>
      <c r="AQ84" s="53" t="s">
        <v>121</v>
      </c>
      <c r="AV84" s="51">
        <f>AW84+AX84</f>
        <v>0</v>
      </c>
      <c r="AW84" s="51">
        <f>F84*AO84</f>
        <v>0</v>
      </c>
      <c r="AX84" s="51">
        <f>F84*AP84</f>
        <v>0</v>
      </c>
      <c r="AY84" s="53" t="s">
        <v>243</v>
      </c>
      <c r="AZ84" s="53" t="s">
        <v>219</v>
      </c>
      <c r="BA84" s="35" t="s">
        <v>128</v>
      </c>
      <c r="BC84" s="51">
        <f>AW84+AX84</f>
        <v>0</v>
      </c>
      <c r="BD84" s="51">
        <f>G84/(100-BE84)*100</f>
        <v>0</v>
      </c>
      <c r="BE84" s="51">
        <v>0</v>
      </c>
      <c r="BF84" s="51">
        <f>84</f>
        <v>84</v>
      </c>
      <c r="BH84" s="51">
        <f>F84*AO84</f>
        <v>0</v>
      </c>
      <c r="BI84" s="51">
        <f>F84*AP84</f>
        <v>0</v>
      </c>
      <c r="BJ84" s="51">
        <f>F84*G84</f>
        <v>0</v>
      </c>
      <c r="BK84" s="51"/>
      <c r="BL84" s="51">
        <v>34</v>
      </c>
      <c r="BW84" s="51">
        <v>21</v>
      </c>
      <c r="BX84" s="2" t="s">
        <v>242</v>
      </c>
    </row>
    <row r="85" spans="1:76" ht="26.4" x14ac:dyDescent="0.3">
      <c r="A85" s="54"/>
      <c r="C85" s="55" t="s">
        <v>244</v>
      </c>
      <c r="D85" s="56" t="s">
        <v>138</v>
      </c>
      <c r="F85" s="57">
        <v>29.22</v>
      </c>
      <c r="K85" s="58"/>
    </row>
    <row r="86" spans="1:76" x14ac:dyDescent="0.3">
      <c r="A86" s="1" t="s">
        <v>155</v>
      </c>
      <c r="B86" s="2" t="s">
        <v>245</v>
      </c>
      <c r="C86" s="71" t="s">
        <v>246</v>
      </c>
      <c r="D86" s="71"/>
      <c r="E86" s="2" t="s">
        <v>197</v>
      </c>
      <c r="F86" s="51">
        <v>38.450000000000003</v>
      </c>
      <c r="G86" s="51">
        <v>0</v>
      </c>
      <c r="H86" s="51">
        <f>F86*AO86</f>
        <v>0</v>
      </c>
      <c r="I86" s="51">
        <f>F86*AP86</f>
        <v>0</v>
      </c>
      <c r="J86" s="51">
        <f>F86*G86</f>
        <v>0</v>
      </c>
      <c r="K86" s="52" t="s">
        <v>125</v>
      </c>
      <c r="Z86" s="51">
        <f>IF(AQ86="5",BJ86,0)</f>
        <v>0</v>
      </c>
      <c r="AB86" s="51">
        <f>IF(AQ86="1",BH86,0)</f>
        <v>0</v>
      </c>
      <c r="AC86" s="51">
        <f>IF(AQ86="1",BI86,0)</f>
        <v>0</v>
      </c>
      <c r="AD86" s="51">
        <f>IF(AQ86="7",BH86,0)</f>
        <v>0</v>
      </c>
      <c r="AE86" s="51">
        <f>IF(AQ86="7",BI86,0)</f>
        <v>0</v>
      </c>
      <c r="AF86" s="51">
        <f>IF(AQ86="2",BH86,0)</f>
        <v>0</v>
      </c>
      <c r="AG86" s="51">
        <f>IF(AQ86="2",BI86,0)</f>
        <v>0</v>
      </c>
      <c r="AH86" s="51">
        <f>IF(AQ86="0",BJ86,0)</f>
        <v>0</v>
      </c>
      <c r="AI86" s="35" t="s">
        <v>4</v>
      </c>
      <c r="AJ86" s="51">
        <f>IF(AN86=0,J86,0)</f>
        <v>0</v>
      </c>
      <c r="AK86" s="51">
        <f>IF(AN86=12,J86,0)</f>
        <v>0</v>
      </c>
      <c r="AL86" s="51">
        <f>IF(AN86=21,J86,0)</f>
        <v>0</v>
      </c>
      <c r="AN86" s="51">
        <v>21</v>
      </c>
      <c r="AO86" s="51">
        <f>G86*0.736953096</f>
        <v>0</v>
      </c>
      <c r="AP86" s="51">
        <f>G86*(1-0.736953096)</f>
        <v>0</v>
      </c>
      <c r="AQ86" s="53" t="s">
        <v>121</v>
      </c>
      <c r="AV86" s="51">
        <f>AW86+AX86</f>
        <v>0</v>
      </c>
      <c r="AW86" s="51">
        <f>F86*AO86</f>
        <v>0</v>
      </c>
      <c r="AX86" s="51">
        <f>F86*AP86</f>
        <v>0</v>
      </c>
      <c r="AY86" s="53" t="s">
        <v>243</v>
      </c>
      <c r="AZ86" s="53" t="s">
        <v>219</v>
      </c>
      <c r="BA86" s="35" t="s">
        <v>128</v>
      </c>
      <c r="BC86" s="51">
        <f>AW86+AX86</f>
        <v>0</v>
      </c>
      <c r="BD86" s="51">
        <f>G86/(100-BE86)*100</f>
        <v>0</v>
      </c>
      <c r="BE86" s="51">
        <v>0</v>
      </c>
      <c r="BF86" s="51">
        <f>86</f>
        <v>86</v>
      </c>
      <c r="BH86" s="51">
        <f>F86*AO86</f>
        <v>0</v>
      </c>
      <c r="BI86" s="51">
        <f>F86*AP86</f>
        <v>0</v>
      </c>
      <c r="BJ86" s="51">
        <f>F86*G86</f>
        <v>0</v>
      </c>
      <c r="BK86" s="51"/>
      <c r="BL86" s="51">
        <v>34</v>
      </c>
      <c r="BW86" s="51">
        <v>21</v>
      </c>
      <c r="BX86" s="2" t="s">
        <v>246</v>
      </c>
    </row>
    <row r="87" spans="1:76" ht="26.4" x14ac:dyDescent="0.3">
      <c r="A87" s="54"/>
      <c r="C87" s="55" t="s">
        <v>247</v>
      </c>
      <c r="D87" s="56" t="s">
        <v>138</v>
      </c>
      <c r="F87" s="57">
        <v>38.450000000000003</v>
      </c>
      <c r="K87" s="58"/>
    </row>
    <row r="88" spans="1:76" x14ac:dyDescent="0.3">
      <c r="A88" s="1" t="s">
        <v>230</v>
      </c>
      <c r="B88" s="2" t="s">
        <v>248</v>
      </c>
      <c r="C88" s="71" t="s">
        <v>249</v>
      </c>
      <c r="D88" s="71"/>
      <c r="E88" s="2" t="s">
        <v>228</v>
      </c>
      <c r="F88" s="51">
        <v>38</v>
      </c>
      <c r="G88" s="51">
        <v>0</v>
      </c>
      <c r="H88" s="51">
        <f>F88*AO88</f>
        <v>0</v>
      </c>
      <c r="I88" s="51">
        <f>F88*AP88</f>
        <v>0</v>
      </c>
      <c r="J88" s="51">
        <f>F88*G88</f>
        <v>0</v>
      </c>
      <c r="K88" s="52" t="s">
        <v>125</v>
      </c>
      <c r="Z88" s="51">
        <f>IF(AQ88="5",BJ88,0)</f>
        <v>0</v>
      </c>
      <c r="AB88" s="51">
        <f>IF(AQ88="1",BH88,0)</f>
        <v>0</v>
      </c>
      <c r="AC88" s="51">
        <f>IF(AQ88="1",BI88,0)</f>
        <v>0</v>
      </c>
      <c r="AD88" s="51">
        <f>IF(AQ88="7",BH88,0)</f>
        <v>0</v>
      </c>
      <c r="AE88" s="51">
        <f>IF(AQ88="7",BI88,0)</f>
        <v>0</v>
      </c>
      <c r="AF88" s="51">
        <f>IF(AQ88="2",BH88,0)</f>
        <v>0</v>
      </c>
      <c r="AG88" s="51">
        <f>IF(AQ88="2",BI88,0)</f>
        <v>0</v>
      </c>
      <c r="AH88" s="51">
        <f>IF(AQ88="0",BJ88,0)</f>
        <v>0</v>
      </c>
      <c r="AI88" s="35" t="s">
        <v>4</v>
      </c>
      <c r="AJ88" s="51">
        <f>IF(AN88=0,J88,0)</f>
        <v>0</v>
      </c>
      <c r="AK88" s="51">
        <f>IF(AN88=12,J88,0)</f>
        <v>0</v>
      </c>
      <c r="AL88" s="51">
        <f>IF(AN88=21,J88,0)</f>
        <v>0</v>
      </c>
      <c r="AN88" s="51">
        <v>21</v>
      </c>
      <c r="AO88" s="51">
        <f>G88*0.641935484</f>
        <v>0</v>
      </c>
      <c r="AP88" s="51">
        <f>G88*(1-0.641935484)</f>
        <v>0</v>
      </c>
      <c r="AQ88" s="53" t="s">
        <v>121</v>
      </c>
      <c r="AV88" s="51">
        <f>AW88+AX88</f>
        <v>0</v>
      </c>
      <c r="AW88" s="51">
        <f>F88*AO88</f>
        <v>0</v>
      </c>
      <c r="AX88" s="51">
        <f>F88*AP88</f>
        <v>0</v>
      </c>
      <c r="AY88" s="53" t="s">
        <v>243</v>
      </c>
      <c r="AZ88" s="53" t="s">
        <v>219</v>
      </c>
      <c r="BA88" s="35" t="s">
        <v>128</v>
      </c>
      <c r="BC88" s="51">
        <f>AW88+AX88</f>
        <v>0</v>
      </c>
      <c r="BD88" s="51">
        <f>G88/(100-BE88)*100</f>
        <v>0</v>
      </c>
      <c r="BE88" s="51">
        <v>0</v>
      </c>
      <c r="BF88" s="51">
        <f>88</f>
        <v>88</v>
      </c>
      <c r="BH88" s="51">
        <f>F88*AO88</f>
        <v>0</v>
      </c>
      <c r="BI88" s="51">
        <f>F88*AP88</f>
        <v>0</v>
      </c>
      <c r="BJ88" s="51">
        <f>F88*G88</f>
        <v>0</v>
      </c>
      <c r="BK88" s="51"/>
      <c r="BL88" s="51">
        <v>34</v>
      </c>
      <c r="BW88" s="51">
        <v>21</v>
      </c>
      <c r="BX88" s="2" t="s">
        <v>249</v>
      </c>
    </row>
    <row r="89" spans="1:76" x14ac:dyDescent="0.3">
      <c r="A89" s="54"/>
      <c r="C89" s="55" t="s">
        <v>250</v>
      </c>
      <c r="D89" s="56" t="s">
        <v>16</v>
      </c>
      <c r="F89" s="57">
        <v>38</v>
      </c>
      <c r="K89" s="58"/>
    </row>
    <row r="90" spans="1:76" x14ac:dyDescent="0.3">
      <c r="A90" s="1" t="s">
        <v>251</v>
      </c>
      <c r="B90" s="2" t="s">
        <v>252</v>
      </c>
      <c r="C90" s="71" t="s">
        <v>253</v>
      </c>
      <c r="D90" s="71"/>
      <c r="E90" s="2" t="s">
        <v>190</v>
      </c>
      <c r="F90" s="51">
        <v>0.28000000000000003</v>
      </c>
      <c r="G90" s="51">
        <v>0</v>
      </c>
      <c r="H90" s="51">
        <f>F90*AO90</f>
        <v>0</v>
      </c>
      <c r="I90" s="51">
        <f>F90*AP90</f>
        <v>0</v>
      </c>
      <c r="J90" s="51">
        <f>F90*G90</f>
        <v>0</v>
      </c>
      <c r="K90" s="52" t="s">
        <v>125</v>
      </c>
      <c r="Z90" s="51">
        <f>IF(AQ90="5",BJ90,0)</f>
        <v>0</v>
      </c>
      <c r="AB90" s="51">
        <f>IF(AQ90="1",BH90,0)</f>
        <v>0</v>
      </c>
      <c r="AC90" s="51">
        <f>IF(AQ90="1",BI90,0)</f>
        <v>0</v>
      </c>
      <c r="AD90" s="51">
        <f>IF(AQ90="7",BH90,0)</f>
        <v>0</v>
      </c>
      <c r="AE90" s="51">
        <f>IF(AQ90="7",BI90,0)</f>
        <v>0</v>
      </c>
      <c r="AF90" s="51">
        <f>IF(AQ90="2",BH90,0)</f>
        <v>0</v>
      </c>
      <c r="AG90" s="51">
        <f>IF(AQ90="2",BI90,0)</f>
        <v>0</v>
      </c>
      <c r="AH90" s="51">
        <f>IF(AQ90="0",BJ90,0)</f>
        <v>0</v>
      </c>
      <c r="AI90" s="35" t="s">
        <v>4</v>
      </c>
      <c r="AJ90" s="51">
        <f>IF(AN90=0,J90,0)</f>
        <v>0</v>
      </c>
      <c r="AK90" s="51">
        <f>IF(AN90=12,J90,0)</f>
        <v>0</v>
      </c>
      <c r="AL90" s="51">
        <f>IF(AN90=21,J90,0)</f>
        <v>0</v>
      </c>
      <c r="AN90" s="51">
        <v>21</v>
      </c>
      <c r="AO90" s="51">
        <f>G90*0.729231463</f>
        <v>0</v>
      </c>
      <c r="AP90" s="51">
        <f>G90*(1-0.729231463)</f>
        <v>0</v>
      </c>
      <c r="AQ90" s="53" t="s">
        <v>121</v>
      </c>
      <c r="AV90" s="51">
        <f>AW90+AX90</f>
        <v>0</v>
      </c>
      <c r="AW90" s="51">
        <f>F90*AO90</f>
        <v>0</v>
      </c>
      <c r="AX90" s="51">
        <f>F90*AP90</f>
        <v>0</v>
      </c>
      <c r="AY90" s="53" t="s">
        <v>243</v>
      </c>
      <c r="AZ90" s="53" t="s">
        <v>219</v>
      </c>
      <c r="BA90" s="35" t="s">
        <v>128</v>
      </c>
      <c r="BC90" s="51">
        <f>AW90+AX90</f>
        <v>0</v>
      </c>
      <c r="BD90" s="51">
        <f>G90/(100-BE90)*100</f>
        <v>0</v>
      </c>
      <c r="BE90" s="51">
        <v>0</v>
      </c>
      <c r="BF90" s="51">
        <f>90</f>
        <v>90</v>
      </c>
      <c r="BH90" s="51">
        <f>F90*AO90</f>
        <v>0</v>
      </c>
      <c r="BI90" s="51">
        <f>F90*AP90</f>
        <v>0</v>
      </c>
      <c r="BJ90" s="51">
        <f>F90*G90</f>
        <v>0</v>
      </c>
      <c r="BK90" s="51"/>
      <c r="BL90" s="51">
        <v>34</v>
      </c>
      <c r="BW90" s="51">
        <v>21</v>
      </c>
      <c r="BX90" s="2" t="s">
        <v>253</v>
      </c>
    </row>
    <row r="91" spans="1:76" x14ac:dyDescent="0.3">
      <c r="A91" s="54"/>
      <c r="C91" s="55" t="s">
        <v>254</v>
      </c>
      <c r="D91" s="56" t="s">
        <v>255</v>
      </c>
      <c r="F91" s="57">
        <v>0.28000000000000003</v>
      </c>
      <c r="K91" s="58"/>
    </row>
    <row r="92" spans="1:76" x14ac:dyDescent="0.3">
      <c r="A92" s="48" t="s">
        <v>4</v>
      </c>
      <c r="B92" s="26" t="s">
        <v>256</v>
      </c>
      <c r="C92" s="142" t="s">
        <v>257</v>
      </c>
      <c r="D92" s="142"/>
      <c r="E92" s="49" t="s">
        <v>80</v>
      </c>
      <c r="F92" s="49" t="s">
        <v>80</v>
      </c>
      <c r="G92" s="49" t="s">
        <v>80</v>
      </c>
      <c r="H92" s="29">
        <f>SUM(H93:H93)</f>
        <v>0</v>
      </c>
      <c r="I92" s="29">
        <f>SUM(I93:I93)</f>
        <v>0</v>
      </c>
      <c r="J92" s="29">
        <f>SUM(J93:J93)</f>
        <v>0</v>
      </c>
      <c r="K92" s="50" t="s">
        <v>4</v>
      </c>
      <c r="AI92" s="35" t="s">
        <v>4</v>
      </c>
      <c r="AS92" s="29">
        <f>SUM(AJ93:AJ93)</f>
        <v>0</v>
      </c>
      <c r="AT92" s="29">
        <f>SUM(AK93:AK93)</f>
        <v>0</v>
      </c>
      <c r="AU92" s="29">
        <f>SUM(AL93:AL93)</f>
        <v>0</v>
      </c>
    </row>
    <row r="93" spans="1:76" x14ac:dyDescent="0.3">
      <c r="A93" s="1" t="s">
        <v>258</v>
      </c>
      <c r="B93" s="2" t="s">
        <v>259</v>
      </c>
      <c r="C93" s="71" t="s">
        <v>260</v>
      </c>
      <c r="D93" s="71"/>
      <c r="E93" s="2" t="s">
        <v>160</v>
      </c>
      <c r="F93" s="51">
        <v>15.55</v>
      </c>
      <c r="G93" s="51">
        <v>0</v>
      </c>
      <c r="H93" s="51">
        <f>F93*AO93</f>
        <v>0</v>
      </c>
      <c r="I93" s="51">
        <f>F93*AP93</f>
        <v>0</v>
      </c>
      <c r="J93" s="51">
        <f>F93*G93</f>
        <v>0</v>
      </c>
      <c r="K93" s="52" t="s">
        <v>125</v>
      </c>
      <c r="Z93" s="51">
        <f>IF(AQ93="5",BJ93,0)</f>
        <v>0</v>
      </c>
      <c r="AB93" s="51">
        <f>IF(AQ93="1",BH93,0)</f>
        <v>0</v>
      </c>
      <c r="AC93" s="51">
        <f>IF(AQ93="1",BI93,0)</f>
        <v>0</v>
      </c>
      <c r="AD93" s="51">
        <f>IF(AQ93="7",BH93,0)</f>
        <v>0</v>
      </c>
      <c r="AE93" s="51">
        <f>IF(AQ93="7",BI93,0)</f>
        <v>0</v>
      </c>
      <c r="AF93" s="51">
        <f>IF(AQ93="2",BH93,0)</f>
        <v>0</v>
      </c>
      <c r="AG93" s="51">
        <f>IF(AQ93="2",BI93,0)</f>
        <v>0</v>
      </c>
      <c r="AH93" s="51">
        <f>IF(AQ93="0",BJ93,0)</f>
        <v>0</v>
      </c>
      <c r="AI93" s="35" t="s">
        <v>4</v>
      </c>
      <c r="AJ93" s="51">
        <f>IF(AN93=0,J93,0)</f>
        <v>0</v>
      </c>
      <c r="AK93" s="51">
        <f>IF(AN93=12,J93,0)</f>
        <v>0</v>
      </c>
      <c r="AL93" s="51">
        <f>IF(AN93=21,J93,0)</f>
        <v>0</v>
      </c>
      <c r="AN93" s="51">
        <v>21</v>
      </c>
      <c r="AO93" s="51">
        <f>G93*0.721769135</f>
        <v>0</v>
      </c>
      <c r="AP93" s="51">
        <f>G93*(1-0.721769135)</f>
        <v>0</v>
      </c>
      <c r="AQ93" s="53" t="s">
        <v>121</v>
      </c>
      <c r="AV93" s="51">
        <f>AW93+AX93</f>
        <v>0</v>
      </c>
      <c r="AW93" s="51">
        <f>F93*AO93</f>
        <v>0</v>
      </c>
      <c r="AX93" s="51">
        <f>F93*AP93</f>
        <v>0</v>
      </c>
      <c r="AY93" s="53" t="s">
        <v>261</v>
      </c>
      <c r="AZ93" s="53" t="s">
        <v>262</v>
      </c>
      <c r="BA93" s="35" t="s">
        <v>128</v>
      </c>
      <c r="BC93" s="51">
        <f>AW93+AX93</f>
        <v>0</v>
      </c>
      <c r="BD93" s="51">
        <f>G93/(100-BE93)*100</f>
        <v>0</v>
      </c>
      <c r="BE93" s="51">
        <v>0</v>
      </c>
      <c r="BF93" s="51">
        <f>93</f>
        <v>93</v>
      </c>
      <c r="BH93" s="51">
        <f>F93*AO93</f>
        <v>0</v>
      </c>
      <c r="BI93" s="51">
        <f>F93*AP93</f>
        <v>0</v>
      </c>
      <c r="BJ93" s="51">
        <f>F93*G93</f>
        <v>0</v>
      </c>
      <c r="BK93" s="51"/>
      <c r="BL93" s="51">
        <v>56</v>
      </c>
      <c r="BW93" s="51">
        <v>21</v>
      </c>
      <c r="BX93" s="2" t="s">
        <v>260</v>
      </c>
    </row>
    <row r="94" spans="1:76" x14ac:dyDescent="0.3">
      <c r="A94" s="54"/>
      <c r="C94" s="145" t="s">
        <v>263</v>
      </c>
      <c r="D94" s="145"/>
      <c r="E94" s="145"/>
      <c r="F94" s="145"/>
      <c r="G94" s="145"/>
      <c r="H94" s="145"/>
      <c r="I94" s="145"/>
      <c r="J94" s="145"/>
      <c r="K94" s="146"/>
    </row>
    <row r="95" spans="1:76" ht="26.4" x14ac:dyDescent="0.3">
      <c r="A95" s="54"/>
      <c r="C95" s="55" t="s">
        <v>264</v>
      </c>
      <c r="D95" s="56" t="s">
        <v>265</v>
      </c>
      <c r="F95" s="57">
        <v>5.77</v>
      </c>
      <c r="K95" s="58"/>
    </row>
    <row r="96" spans="1:76" x14ac:dyDescent="0.3">
      <c r="A96" s="54"/>
      <c r="C96" s="55" t="s">
        <v>266</v>
      </c>
      <c r="D96" s="56" t="s">
        <v>267</v>
      </c>
      <c r="F96" s="57">
        <v>9.7799999999999994</v>
      </c>
      <c r="K96" s="58"/>
    </row>
    <row r="97" spans="1:76" x14ac:dyDescent="0.3">
      <c r="A97" s="48" t="s">
        <v>4</v>
      </c>
      <c r="B97" s="26" t="s">
        <v>268</v>
      </c>
      <c r="C97" s="142" t="s">
        <v>269</v>
      </c>
      <c r="D97" s="142"/>
      <c r="E97" s="49" t="s">
        <v>80</v>
      </c>
      <c r="F97" s="49" t="s">
        <v>80</v>
      </c>
      <c r="G97" s="49" t="s">
        <v>80</v>
      </c>
      <c r="H97" s="29">
        <f>SUM(H98:H98)</f>
        <v>0</v>
      </c>
      <c r="I97" s="29">
        <f>SUM(I98:I98)</f>
        <v>0</v>
      </c>
      <c r="J97" s="29">
        <f>SUM(J98:J98)</f>
        <v>0</v>
      </c>
      <c r="K97" s="50" t="s">
        <v>4</v>
      </c>
      <c r="AI97" s="35" t="s">
        <v>4</v>
      </c>
      <c r="AS97" s="29">
        <f>SUM(AJ98:AJ98)</f>
        <v>0</v>
      </c>
      <c r="AT97" s="29">
        <f>SUM(AK98:AK98)</f>
        <v>0</v>
      </c>
      <c r="AU97" s="29">
        <f>SUM(AL98:AL98)</f>
        <v>0</v>
      </c>
    </row>
    <row r="98" spans="1:76" x14ac:dyDescent="0.3">
      <c r="A98" s="1" t="s">
        <v>270</v>
      </c>
      <c r="B98" s="2" t="s">
        <v>271</v>
      </c>
      <c r="C98" s="71" t="s">
        <v>272</v>
      </c>
      <c r="D98" s="71"/>
      <c r="E98" s="2" t="s">
        <v>160</v>
      </c>
      <c r="F98" s="51">
        <v>15.55</v>
      </c>
      <c r="G98" s="51">
        <v>0</v>
      </c>
      <c r="H98" s="51">
        <f>F98*AO98</f>
        <v>0</v>
      </c>
      <c r="I98" s="51">
        <f>F98*AP98</f>
        <v>0</v>
      </c>
      <c r="J98" s="51">
        <f>F98*G98</f>
        <v>0</v>
      </c>
      <c r="K98" s="52" t="s">
        <v>125</v>
      </c>
      <c r="Z98" s="51">
        <f>IF(AQ98="5",BJ98,0)</f>
        <v>0</v>
      </c>
      <c r="AB98" s="51">
        <f>IF(AQ98="1",BH98,0)</f>
        <v>0</v>
      </c>
      <c r="AC98" s="51">
        <f>IF(AQ98="1",BI98,0)</f>
        <v>0</v>
      </c>
      <c r="AD98" s="51">
        <f>IF(AQ98="7",BH98,0)</f>
        <v>0</v>
      </c>
      <c r="AE98" s="51">
        <f>IF(AQ98="7",BI98,0)</f>
        <v>0</v>
      </c>
      <c r="AF98" s="51">
        <f>IF(AQ98="2",BH98,0)</f>
        <v>0</v>
      </c>
      <c r="AG98" s="51">
        <f>IF(AQ98="2",BI98,0)</f>
        <v>0</v>
      </c>
      <c r="AH98" s="51">
        <f>IF(AQ98="0",BJ98,0)</f>
        <v>0</v>
      </c>
      <c r="AI98" s="35" t="s">
        <v>4</v>
      </c>
      <c r="AJ98" s="51">
        <f>IF(AN98=0,J98,0)</f>
        <v>0</v>
      </c>
      <c r="AK98" s="51">
        <f>IF(AN98=12,J98,0)</f>
        <v>0</v>
      </c>
      <c r="AL98" s="51">
        <f>IF(AN98=21,J98,0)</f>
        <v>0</v>
      </c>
      <c r="AN98" s="51">
        <v>21</v>
      </c>
      <c r="AO98" s="51">
        <f>G98*0.75545809</f>
        <v>0</v>
      </c>
      <c r="AP98" s="51">
        <f>G98*(1-0.75545809)</f>
        <v>0</v>
      </c>
      <c r="AQ98" s="53" t="s">
        <v>121</v>
      </c>
      <c r="AV98" s="51">
        <f>AW98+AX98</f>
        <v>0</v>
      </c>
      <c r="AW98" s="51">
        <f>F98*AO98</f>
        <v>0</v>
      </c>
      <c r="AX98" s="51">
        <f>F98*AP98</f>
        <v>0</v>
      </c>
      <c r="AY98" s="53" t="s">
        <v>273</v>
      </c>
      <c r="AZ98" s="53" t="s">
        <v>262</v>
      </c>
      <c r="BA98" s="35" t="s">
        <v>128</v>
      </c>
      <c r="BC98" s="51">
        <f>AW98+AX98</f>
        <v>0</v>
      </c>
      <c r="BD98" s="51">
        <f>G98/(100-BE98)*100</f>
        <v>0</v>
      </c>
      <c r="BE98" s="51">
        <v>0</v>
      </c>
      <c r="BF98" s="51">
        <f>98</f>
        <v>98</v>
      </c>
      <c r="BH98" s="51">
        <f>F98*AO98</f>
        <v>0</v>
      </c>
      <c r="BI98" s="51">
        <f>F98*AP98</f>
        <v>0</v>
      </c>
      <c r="BJ98" s="51">
        <f>F98*G98</f>
        <v>0</v>
      </c>
      <c r="BK98" s="51"/>
      <c r="BL98" s="51">
        <v>57</v>
      </c>
      <c r="BW98" s="51">
        <v>21</v>
      </c>
      <c r="BX98" s="2" t="s">
        <v>272</v>
      </c>
    </row>
    <row r="99" spans="1:76" ht="26.4" x14ac:dyDescent="0.3">
      <c r="A99" s="54"/>
      <c r="C99" s="55" t="s">
        <v>264</v>
      </c>
      <c r="D99" s="56" t="s">
        <v>265</v>
      </c>
      <c r="F99" s="57">
        <v>5.77</v>
      </c>
      <c r="K99" s="58"/>
    </row>
    <row r="100" spans="1:76" x14ac:dyDescent="0.3">
      <c r="A100" s="54"/>
      <c r="C100" s="55" t="s">
        <v>266</v>
      </c>
      <c r="D100" s="56" t="s">
        <v>267</v>
      </c>
      <c r="F100" s="57">
        <v>9.7799999999999994</v>
      </c>
      <c r="K100" s="58"/>
    </row>
    <row r="101" spans="1:76" x14ac:dyDescent="0.3">
      <c r="A101" s="48" t="s">
        <v>4</v>
      </c>
      <c r="B101" s="26" t="s">
        <v>274</v>
      </c>
      <c r="C101" s="142" t="s">
        <v>275</v>
      </c>
      <c r="D101" s="142"/>
      <c r="E101" s="49" t="s">
        <v>80</v>
      </c>
      <c r="F101" s="49" t="s">
        <v>80</v>
      </c>
      <c r="G101" s="49" t="s">
        <v>80</v>
      </c>
      <c r="H101" s="29">
        <f>SUM(H102:H110)</f>
        <v>0</v>
      </c>
      <c r="I101" s="29">
        <f>SUM(I102:I110)</f>
        <v>0</v>
      </c>
      <c r="J101" s="29">
        <f>SUM(J102:J110)</f>
        <v>0</v>
      </c>
      <c r="K101" s="50" t="s">
        <v>4</v>
      </c>
      <c r="AI101" s="35" t="s">
        <v>4</v>
      </c>
      <c r="AS101" s="29">
        <f>SUM(AJ102:AJ110)</f>
        <v>0</v>
      </c>
      <c r="AT101" s="29">
        <f>SUM(AK102:AK110)</f>
        <v>0</v>
      </c>
      <c r="AU101" s="29">
        <f>SUM(AL102:AL110)</f>
        <v>0</v>
      </c>
    </row>
    <row r="102" spans="1:76" x14ac:dyDescent="0.3">
      <c r="A102" s="1" t="s">
        <v>276</v>
      </c>
      <c r="B102" s="2" t="s">
        <v>277</v>
      </c>
      <c r="C102" s="71" t="s">
        <v>278</v>
      </c>
      <c r="D102" s="71"/>
      <c r="E102" s="2" t="s">
        <v>160</v>
      </c>
      <c r="F102" s="51">
        <v>2.4</v>
      </c>
      <c r="G102" s="51">
        <v>0</v>
      </c>
      <c r="H102" s="51">
        <f>F102*AO102</f>
        <v>0</v>
      </c>
      <c r="I102" s="51">
        <f>F102*AP102</f>
        <v>0</v>
      </c>
      <c r="J102" s="51">
        <f>F102*G102</f>
        <v>0</v>
      </c>
      <c r="K102" s="52" t="s">
        <v>125</v>
      </c>
      <c r="Z102" s="51">
        <f>IF(AQ102="5",BJ102,0)</f>
        <v>0</v>
      </c>
      <c r="AB102" s="51">
        <f>IF(AQ102="1",BH102,0)</f>
        <v>0</v>
      </c>
      <c r="AC102" s="51">
        <f>IF(AQ102="1",BI102,0)</f>
        <v>0</v>
      </c>
      <c r="AD102" s="51">
        <f>IF(AQ102="7",BH102,0)</f>
        <v>0</v>
      </c>
      <c r="AE102" s="51">
        <f>IF(AQ102="7",BI102,0)</f>
        <v>0</v>
      </c>
      <c r="AF102" s="51">
        <f>IF(AQ102="2",BH102,0)</f>
        <v>0</v>
      </c>
      <c r="AG102" s="51">
        <f>IF(AQ102="2",BI102,0)</f>
        <v>0</v>
      </c>
      <c r="AH102" s="51">
        <f>IF(AQ102="0",BJ102,0)</f>
        <v>0</v>
      </c>
      <c r="AI102" s="35" t="s">
        <v>4</v>
      </c>
      <c r="AJ102" s="51">
        <f>IF(AN102=0,J102,0)</f>
        <v>0</v>
      </c>
      <c r="AK102" s="51">
        <f>IF(AN102=12,J102,0)</f>
        <v>0</v>
      </c>
      <c r="AL102" s="51">
        <f>IF(AN102=21,J102,0)</f>
        <v>0</v>
      </c>
      <c r="AN102" s="51">
        <v>21</v>
      </c>
      <c r="AO102" s="51">
        <f>G102*0.055472637</f>
        <v>0</v>
      </c>
      <c r="AP102" s="51">
        <f>G102*(1-0.055472637)</f>
        <v>0</v>
      </c>
      <c r="AQ102" s="53" t="s">
        <v>121</v>
      </c>
      <c r="AV102" s="51">
        <f>AW102+AX102</f>
        <v>0</v>
      </c>
      <c r="AW102" s="51">
        <f>F102*AO102</f>
        <v>0</v>
      </c>
      <c r="AX102" s="51">
        <f>F102*AP102</f>
        <v>0</v>
      </c>
      <c r="AY102" s="53" t="s">
        <v>279</v>
      </c>
      <c r="AZ102" s="53" t="s">
        <v>280</v>
      </c>
      <c r="BA102" s="35" t="s">
        <v>128</v>
      </c>
      <c r="BC102" s="51">
        <f>AW102+AX102</f>
        <v>0</v>
      </c>
      <c r="BD102" s="51">
        <f>G102/(100-BE102)*100</f>
        <v>0</v>
      </c>
      <c r="BE102" s="51">
        <v>0</v>
      </c>
      <c r="BF102" s="51">
        <f>102</f>
        <v>102</v>
      </c>
      <c r="BH102" s="51">
        <f>F102*AO102</f>
        <v>0</v>
      </c>
      <c r="BI102" s="51">
        <f>F102*AP102</f>
        <v>0</v>
      </c>
      <c r="BJ102" s="51">
        <f>F102*G102</f>
        <v>0</v>
      </c>
      <c r="BK102" s="51"/>
      <c r="BL102" s="51">
        <v>62</v>
      </c>
      <c r="BW102" s="51">
        <v>21</v>
      </c>
      <c r="BX102" s="2" t="s">
        <v>278</v>
      </c>
    </row>
    <row r="103" spans="1:76" x14ac:dyDescent="0.3">
      <c r="A103" s="54"/>
      <c r="C103" s="145" t="s">
        <v>281</v>
      </c>
      <c r="D103" s="145"/>
      <c r="E103" s="145"/>
      <c r="F103" s="145"/>
      <c r="G103" s="145"/>
      <c r="H103" s="145"/>
      <c r="I103" s="145"/>
      <c r="J103" s="145"/>
      <c r="K103" s="146"/>
    </row>
    <row r="104" spans="1:76" x14ac:dyDescent="0.3">
      <c r="A104" s="54"/>
      <c r="C104" s="55" t="s">
        <v>282</v>
      </c>
      <c r="D104" s="56" t="s">
        <v>283</v>
      </c>
      <c r="F104" s="57">
        <v>2.4</v>
      </c>
      <c r="K104" s="58"/>
    </row>
    <row r="105" spans="1:76" x14ac:dyDescent="0.3">
      <c r="A105" s="1" t="s">
        <v>284</v>
      </c>
      <c r="B105" s="2" t="s">
        <v>285</v>
      </c>
      <c r="C105" s="71" t="s">
        <v>286</v>
      </c>
      <c r="D105" s="71"/>
      <c r="E105" s="2" t="s">
        <v>160</v>
      </c>
      <c r="F105" s="51">
        <v>2.82</v>
      </c>
      <c r="G105" s="51">
        <v>0</v>
      </c>
      <c r="H105" s="51">
        <f>F105*AO105</f>
        <v>0</v>
      </c>
      <c r="I105" s="51">
        <f>F105*AP105</f>
        <v>0</v>
      </c>
      <c r="J105" s="51">
        <f>F105*G105</f>
        <v>0</v>
      </c>
      <c r="K105" s="52" t="s">
        <v>125</v>
      </c>
      <c r="Z105" s="51">
        <f>IF(AQ105="5",BJ105,0)</f>
        <v>0</v>
      </c>
      <c r="AB105" s="51">
        <f>IF(AQ105="1",BH105,0)</f>
        <v>0</v>
      </c>
      <c r="AC105" s="51">
        <f>IF(AQ105="1",BI105,0)</f>
        <v>0</v>
      </c>
      <c r="AD105" s="51">
        <f>IF(AQ105="7",BH105,0)</f>
        <v>0</v>
      </c>
      <c r="AE105" s="51">
        <f>IF(AQ105="7",BI105,0)</f>
        <v>0</v>
      </c>
      <c r="AF105" s="51">
        <f>IF(AQ105="2",BH105,0)</f>
        <v>0</v>
      </c>
      <c r="AG105" s="51">
        <f>IF(AQ105="2",BI105,0)</f>
        <v>0</v>
      </c>
      <c r="AH105" s="51">
        <f>IF(AQ105="0",BJ105,0)</f>
        <v>0</v>
      </c>
      <c r="AI105" s="35" t="s">
        <v>4</v>
      </c>
      <c r="AJ105" s="51">
        <f>IF(AN105=0,J105,0)</f>
        <v>0</v>
      </c>
      <c r="AK105" s="51">
        <f>IF(AN105=12,J105,0)</f>
        <v>0</v>
      </c>
      <c r="AL105" s="51">
        <f>IF(AN105=21,J105,0)</f>
        <v>0</v>
      </c>
      <c r="AN105" s="51">
        <v>21</v>
      </c>
      <c r="AO105" s="51">
        <f>G105*0.490644172</f>
        <v>0</v>
      </c>
      <c r="AP105" s="51">
        <f>G105*(1-0.490644172)</f>
        <v>0</v>
      </c>
      <c r="AQ105" s="53" t="s">
        <v>121</v>
      </c>
      <c r="AV105" s="51">
        <f>AW105+AX105</f>
        <v>0</v>
      </c>
      <c r="AW105" s="51">
        <f>F105*AO105</f>
        <v>0</v>
      </c>
      <c r="AX105" s="51">
        <f>F105*AP105</f>
        <v>0</v>
      </c>
      <c r="AY105" s="53" t="s">
        <v>279</v>
      </c>
      <c r="AZ105" s="53" t="s">
        <v>280</v>
      </c>
      <c r="BA105" s="35" t="s">
        <v>128</v>
      </c>
      <c r="BC105" s="51">
        <f>AW105+AX105</f>
        <v>0</v>
      </c>
      <c r="BD105" s="51">
        <f>G105/(100-BE105)*100</f>
        <v>0</v>
      </c>
      <c r="BE105" s="51">
        <v>0</v>
      </c>
      <c r="BF105" s="51">
        <f>105</f>
        <v>105</v>
      </c>
      <c r="BH105" s="51">
        <f>F105*AO105</f>
        <v>0</v>
      </c>
      <c r="BI105" s="51">
        <f>F105*AP105</f>
        <v>0</v>
      </c>
      <c r="BJ105" s="51">
        <f>F105*G105</f>
        <v>0</v>
      </c>
      <c r="BK105" s="51"/>
      <c r="BL105" s="51">
        <v>62</v>
      </c>
      <c r="BW105" s="51">
        <v>21</v>
      </c>
      <c r="BX105" s="2" t="s">
        <v>286</v>
      </c>
    </row>
    <row r="106" spans="1:76" x14ac:dyDescent="0.3">
      <c r="A106" s="54"/>
      <c r="C106" s="145" t="s">
        <v>287</v>
      </c>
      <c r="D106" s="145"/>
      <c r="E106" s="145"/>
      <c r="F106" s="145"/>
      <c r="G106" s="145"/>
      <c r="H106" s="145"/>
      <c r="I106" s="145"/>
      <c r="J106" s="145"/>
      <c r="K106" s="146"/>
    </row>
    <row r="107" spans="1:76" x14ac:dyDescent="0.3">
      <c r="A107" s="54"/>
      <c r="C107" s="55" t="s">
        <v>288</v>
      </c>
      <c r="D107" s="56" t="s">
        <v>289</v>
      </c>
      <c r="F107" s="57">
        <v>2.82</v>
      </c>
      <c r="K107" s="58"/>
    </row>
    <row r="108" spans="1:76" x14ac:dyDescent="0.3">
      <c r="A108" s="1" t="s">
        <v>290</v>
      </c>
      <c r="B108" s="2" t="s">
        <v>291</v>
      </c>
      <c r="C108" s="71" t="s">
        <v>292</v>
      </c>
      <c r="D108" s="71"/>
      <c r="E108" s="2" t="s">
        <v>160</v>
      </c>
      <c r="F108" s="51">
        <v>2.82</v>
      </c>
      <c r="G108" s="51">
        <v>0</v>
      </c>
      <c r="H108" s="51">
        <f>F108*AO108</f>
        <v>0</v>
      </c>
      <c r="I108" s="51">
        <f>F108*AP108</f>
        <v>0</v>
      </c>
      <c r="J108" s="51">
        <f>F108*G108</f>
        <v>0</v>
      </c>
      <c r="K108" s="52" t="s">
        <v>125</v>
      </c>
      <c r="Z108" s="51">
        <f>IF(AQ108="5",BJ108,0)</f>
        <v>0</v>
      </c>
      <c r="AB108" s="51">
        <f>IF(AQ108="1",BH108,0)</f>
        <v>0</v>
      </c>
      <c r="AC108" s="51">
        <f>IF(AQ108="1",BI108,0)</f>
        <v>0</v>
      </c>
      <c r="AD108" s="51">
        <f>IF(AQ108="7",BH108,0)</f>
        <v>0</v>
      </c>
      <c r="AE108" s="51">
        <f>IF(AQ108="7",BI108,0)</f>
        <v>0</v>
      </c>
      <c r="AF108" s="51">
        <f>IF(AQ108="2",BH108,0)</f>
        <v>0</v>
      </c>
      <c r="AG108" s="51">
        <f>IF(AQ108="2",BI108,0)</f>
        <v>0</v>
      </c>
      <c r="AH108" s="51">
        <f>IF(AQ108="0",BJ108,0)</f>
        <v>0</v>
      </c>
      <c r="AI108" s="35" t="s">
        <v>4</v>
      </c>
      <c r="AJ108" s="51">
        <f>IF(AN108=0,J108,0)</f>
        <v>0</v>
      </c>
      <c r="AK108" s="51">
        <f>IF(AN108=12,J108,0)</f>
        <v>0</v>
      </c>
      <c r="AL108" s="51">
        <f>IF(AN108=21,J108,0)</f>
        <v>0</v>
      </c>
      <c r="AN108" s="51">
        <v>21</v>
      </c>
      <c r="AO108" s="51">
        <f>G108*0.272058824</f>
        <v>0</v>
      </c>
      <c r="AP108" s="51">
        <f>G108*(1-0.272058824)</f>
        <v>0</v>
      </c>
      <c r="AQ108" s="53" t="s">
        <v>121</v>
      </c>
      <c r="AV108" s="51">
        <f>AW108+AX108</f>
        <v>0</v>
      </c>
      <c r="AW108" s="51">
        <f>F108*AO108</f>
        <v>0</v>
      </c>
      <c r="AX108" s="51">
        <f>F108*AP108</f>
        <v>0</v>
      </c>
      <c r="AY108" s="53" t="s">
        <v>279</v>
      </c>
      <c r="AZ108" s="53" t="s">
        <v>280</v>
      </c>
      <c r="BA108" s="35" t="s">
        <v>128</v>
      </c>
      <c r="BC108" s="51">
        <f>AW108+AX108</f>
        <v>0</v>
      </c>
      <c r="BD108" s="51">
        <f>G108/(100-BE108)*100</f>
        <v>0</v>
      </c>
      <c r="BE108" s="51">
        <v>0</v>
      </c>
      <c r="BF108" s="51">
        <f>108</f>
        <v>108</v>
      </c>
      <c r="BH108" s="51">
        <f>F108*AO108</f>
        <v>0</v>
      </c>
      <c r="BI108" s="51">
        <f>F108*AP108</f>
        <v>0</v>
      </c>
      <c r="BJ108" s="51">
        <f>F108*G108</f>
        <v>0</v>
      </c>
      <c r="BK108" s="51"/>
      <c r="BL108" s="51">
        <v>62</v>
      </c>
      <c r="BW108" s="51">
        <v>21</v>
      </c>
      <c r="BX108" s="2" t="s">
        <v>292</v>
      </c>
    </row>
    <row r="109" spans="1:76" x14ac:dyDescent="0.3">
      <c r="A109" s="54"/>
      <c r="C109" s="55" t="s">
        <v>288</v>
      </c>
      <c r="D109" s="56" t="s">
        <v>289</v>
      </c>
      <c r="F109" s="57">
        <v>2.82</v>
      </c>
      <c r="K109" s="58"/>
    </row>
    <row r="110" spans="1:76" x14ac:dyDescent="0.3">
      <c r="A110" s="1" t="s">
        <v>293</v>
      </c>
      <c r="B110" s="2" t="s">
        <v>294</v>
      </c>
      <c r="C110" s="71" t="s">
        <v>295</v>
      </c>
      <c r="D110" s="71"/>
      <c r="E110" s="2" t="s">
        <v>160</v>
      </c>
      <c r="F110" s="51">
        <v>2.82</v>
      </c>
      <c r="G110" s="51">
        <v>0</v>
      </c>
      <c r="H110" s="51">
        <f>F110*AO110</f>
        <v>0</v>
      </c>
      <c r="I110" s="51">
        <f>F110*AP110</f>
        <v>0</v>
      </c>
      <c r="J110" s="51">
        <f>F110*G110</f>
        <v>0</v>
      </c>
      <c r="K110" s="52" t="s">
        <v>125</v>
      </c>
      <c r="Z110" s="51">
        <f>IF(AQ110="5",BJ110,0)</f>
        <v>0</v>
      </c>
      <c r="AB110" s="51">
        <f>IF(AQ110="1",BH110,0)</f>
        <v>0</v>
      </c>
      <c r="AC110" s="51">
        <f>IF(AQ110="1",BI110,0)</f>
        <v>0</v>
      </c>
      <c r="AD110" s="51">
        <f>IF(AQ110="7",BH110,0)</f>
        <v>0</v>
      </c>
      <c r="AE110" s="51">
        <f>IF(AQ110="7",BI110,0)</f>
        <v>0</v>
      </c>
      <c r="AF110" s="51">
        <f>IF(AQ110="2",BH110,0)</f>
        <v>0</v>
      </c>
      <c r="AG110" s="51">
        <f>IF(AQ110="2",BI110,0)</f>
        <v>0</v>
      </c>
      <c r="AH110" s="51">
        <f>IF(AQ110="0",BJ110,0)</f>
        <v>0</v>
      </c>
      <c r="AI110" s="35" t="s">
        <v>4</v>
      </c>
      <c r="AJ110" s="51">
        <f>IF(AN110=0,J110,0)</f>
        <v>0</v>
      </c>
      <c r="AK110" s="51">
        <f>IF(AN110=12,J110,0)</f>
        <v>0</v>
      </c>
      <c r="AL110" s="51">
        <f>IF(AN110=21,J110,0)</f>
        <v>0</v>
      </c>
      <c r="AN110" s="51">
        <v>21</v>
      </c>
      <c r="AO110" s="51">
        <f>G110*0.550434783</f>
        <v>0</v>
      </c>
      <c r="AP110" s="51">
        <f>G110*(1-0.550434783)</f>
        <v>0</v>
      </c>
      <c r="AQ110" s="53" t="s">
        <v>121</v>
      </c>
      <c r="AV110" s="51">
        <f>AW110+AX110</f>
        <v>0</v>
      </c>
      <c r="AW110" s="51">
        <f>F110*AO110</f>
        <v>0</v>
      </c>
      <c r="AX110" s="51">
        <f>F110*AP110</f>
        <v>0</v>
      </c>
      <c r="AY110" s="53" t="s">
        <v>279</v>
      </c>
      <c r="AZ110" s="53" t="s">
        <v>280</v>
      </c>
      <c r="BA110" s="35" t="s">
        <v>128</v>
      </c>
      <c r="BC110" s="51">
        <f>AW110+AX110</f>
        <v>0</v>
      </c>
      <c r="BD110" s="51">
        <f>G110/(100-BE110)*100</f>
        <v>0</v>
      </c>
      <c r="BE110" s="51">
        <v>0</v>
      </c>
      <c r="BF110" s="51">
        <f>110</f>
        <v>110</v>
      </c>
      <c r="BH110" s="51">
        <f>F110*AO110</f>
        <v>0</v>
      </c>
      <c r="BI110" s="51">
        <f>F110*AP110</f>
        <v>0</v>
      </c>
      <c r="BJ110" s="51">
        <f>F110*G110</f>
        <v>0</v>
      </c>
      <c r="BK110" s="51"/>
      <c r="BL110" s="51">
        <v>62</v>
      </c>
      <c r="BW110" s="51">
        <v>21</v>
      </c>
      <c r="BX110" s="2" t="s">
        <v>295</v>
      </c>
    </row>
    <row r="111" spans="1:76" x14ac:dyDescent="0.3">
      <c r="A111" s="54"/>
      <c r="C111" s="145" t="s">
        <v>296</v>
      </c>
      <c r="D111" s="145"/>
      <c r="E111" s="145"/>
      <c r="F111" s="145"/>
      <c r="G111" s="145"/>
      <c r="H111" s="145"/>
      <c r="I111" s="145"/>
      <c r="J111" s="145"/>
      <c r="K111" s="146"/>
    </row>
    <row r="112" spans="1:76" x14ac:dyDescent="0.3">
      <c r="A112" s="54"/>
      <c r="C112" s="55" t="s">
        <v>288</v>
      </c>
      <c r="D112" s="56" t="s">
        <v>289</v>
      </c>
      <c r="F112" s="57">
        <v>2.82</v>
      </c>
      <c r="K112" s="58"/>
    </row>
    <row r="113" spans="1:76" x14ac:dyDescent="0.3">
      <c r="A113" s="48" t="s">
        <v>4</v>
      </c>
      <c r="B113" s="26" t="s">
        <v>297</v>
      </c>
      <c r="C113" s="142" t="s">
        <v>298</v>
      </c>
      <c r="D113" s="142"/>
      <c r="E113" s="49" t="s">
        <v>80</v>
      </c>
      <c r="F113" s="49" t="s">
        <v>80</v>
      </c>
      <c r="G113" s="49" t="s">
        <v>80</v>
      </c>
      <c r="H113" s="29">
        <f>SUM(H114:H133)</f>
        <v>0</v>
      </c>
      <c r="I113" s="29">
        <f>SUM(I114:I133)</f>
        <v>0</v>
      </c>
      <c r="J113" s="29">
        <f>SUM(J114:J133)</f>
        <v>0</v>
      </c>
      <c r="K113" s="50" t="s">
        <v>4</v>
      </c>
      <c r="AI113" s="35" t="s">
        <v>4</v>
      </c>
      <c r="AS113" s="29">
        <f>SUM(AJ114:AJ133)</f>
        <v>0</v>
      </c>
      <c r="AT113" s="29">
        <f>SUM(AK114:AK133)</f>
        <v>0</v>
      </c>
      <c r="AU113" s="29">
        <f>SUM(AL114:AL133)</f>
        <v>0</v>
      </c>
    </row>
    <row r="114" spans="1:76" x14ac:dyDescent="0.3">
      <c r="A114" s="1" t="s">
        <v>177</v>
      </c>
      <c r="B114" s="2" t="s">
        <v>299</v>
      </c>
      <c r="C114" s="71" t="s">
        <v>300</v>
      </c>
      <c r="D114" s="71"/>
      <c r="E114" s="2" t="s">
        <v>197</v>
      </c>
      <c r="F114" s="51">
        <v>147.5</v>
      </c>
      <c r="G114" s="51">
        <v>0</v>
      </c>
      <c r="H114" s="51">
        <f>F114*AO114</f>
        <v>0</v>
      </c>
      <c r="I114" s="51">
        <f>F114*AP114</f>
        <v>0</v>
      </c>
      <c r="J114" s="51">
        <f>F114*G114</f>
        <v>0</v>
      </c>
      <c r="K114" s="52" t="s">
        <v>125</v>
      </c>
      <c r="Z114" s="51">
        <f>IF(AQ114="5",BJ114,0)</f>
        <v>0</v>
      </c>
      <c r="AB114" s="51">
        <f>IF(AQ114="1",BH114,0)</f>
        <v>0</v>
      </c>
      <c r="AC114" s="51">
        <f>IF(AQ114="1",BI114,0)</f>
        <v>0</v>
      </c>
      <c r="AD114" s="51">
        <f>IF(AQ114="7",BH114,0)</f>
        <v>0</v>
      </c>
      <c r="AE114" s="51">
        <f>IF(AQ114="7",BI114,0)</f>
        <v>0</v>
      </c>
      <c r="AF114" s="51">
        <f>IF(AQ114="2",BH114,0)</f>
        <v>0</v>
      </c>
      <c r="AG114" s="51">
        <f>IF(AQ114="2",BI114,0)</f>
        <v>0</v>
      </c>
      <c r="AH114" s="51">
        <f>IF(AQ114="0",BJ114,0)</f>
        <v>0</v>
      </c>
      <c r="AI114" s="35" t="s">
        <v>4</v>
      </c>
      <c r="AJ114" s="51">
        <f>IF(AN114=0,J114,0)</f>
        <v>0</v>
      </c>
      <c r="AK114" s="51">
        <f>IF(AN114=12,J114,0)</f>
        <v>0</v>
      </c>
      <c r="AL114" s="51">
        <f>IF(AN114=21,J114,0)</f>
        <v>0</v>
      </c>
      <c r="AN114" s="51">
        <v>21</v>
      </c>
      <c r="AO114" s="51">
        <f>G114*0</f>
        <v>0</v>
      </c>
      <c r="AP114" s="51">
        <f>G114*(1-0)</f>
        <v>0</v>
      </c>
      <c r="AQ114" s="53" t="s">
        <v>179</v>
      </c>
      <c r="AV114" s="51">
        <f>AW114+AX114</f>
        <v>0</v>
      </c>
      <c r="AW114" s="51">
        <f>F114*AO114</f>
        <v>0</v>
      </c>
      <c r="AX114" s="51">
        <f>F114*AP114</f>
        <v>0</v>
      </c>
      <c r="AY114" s="53" t="s">
        <v>301</v>
      </c>
      <c r="AZ114" s="53" t="s">
        <v>302</v>
      </c>
      <c r="BA114" s="35" t="s">
        <v>128</v>
      </c>
      <c r="BC114" s="51">
        <f>AW114+AX114</f>
        <v>0</v>
      </c>
      <c r="BD114" s="51">
        <f>G114/(100-BE114)*100</f>
        <v>0</v>
      </c>
      <c r="BE114" s="51">
        <v>0</v>
      </c>
      <c r="BF114" s="51">
        <f>114</f>
        <v>114</v>
      </c>
      <c r="BH114" s="51">
        <f>F114*AO114</f>
        <v>0</v>
      </c>
      <c r="BI114" s="51">
        <f>F114*AP114</f>
        <v>0</v>
      </c>
      <c r="BJ114" s="51">
        <f>F114*G114</f>
        <v>0</v>
      </c>
      <c r="BK114" s="51"/>
      <c r="BL114" s="51">
        <v>767</v>
      </c>
      <c r="BW114" s="51">
        <v>21</v>
      </c>
      <c r="BX114" s="2" t="s">
        <v>300</v>
      </c>
    </row>
    <row r="115" spans="1:76" ht="26.4" x14ac:dyDescent="0.3">
      <c r="A115" s="54"/>
      <c r="C115" s="55" t="s">
        <v>247</v>
      </c>
      <c r="D115" s="56" t="s">
        <v>138</v>
      </c>
      <c r="F115" s="57">
        <v>38.450000000000003</v>
      </c>
      <c r="K115" s="58"/>
    </row>
    <row r="116" spans="1:76" x14ac:dyDescent="0.3">
      <c r="A116" s="54"/>
      <c r="C116" s="55" t="s">
        <v>303</v>
      </c>
      <c r="D116" s="56" t="s">
        <v>140</v>
      </c>
      <c r="F116" s="57">
        <v>65.22</v>
      </c>
      <c r="K116" s="58"/>
    </row>
    <row r="117" spans="1:76" x14ac:dyDescent="0.3">
      <c r="A117" s="54"/>
      <c r="C117" s="55" t="s">
        <v>304</v>
      </c>
      <c r="D117" s="56" t="s">
        <v>142</v>
      </c>
      <c r="F117" s="57">
        <v>43.83</v>
      </c>
      <c r="K117" s="58"/>
    </row>
    <row r="118" spans="1:76" x14ac:dyDescent="0.3">
      <c r="A118" s="1" t="s">
        <v>305</v>
      </c>
      <c r="B118" s="2" t="s">
        <v>306</v>
      </c>
      <c r="C118" s="71" t="s">
        <v>307</v>
      </c>
      <c r="D118" s="71"/>
      <c r="E118" s="2" t="s">
        <v>228</v>
      </c>
      <c r="F118" s="51">
        <v>69</v>
      </c>
      <c r="G118" s="51">
        <v>0</v>
      </c>
      <c r="H118" s="51">
        <f>F118*AO118</f>
        <v>0</v>
      </c>
      <c r="I118" s="51">
        <f>F118*AP118</f>
        <v>0</v>
      </c>
      <c r="J118" s="51">
        <f>F118*G118</f>
        <v>0</v>
      </c>
      <c r="K118" s="52" t="s">
        <v>125</v>
      </c>
      <c r="Z118" s="51">
        <f>IF(AQ118="5",BJ118,0)</f>
        <v>0</v>
      </c>
      <c r="AB118" s="51">
        <f>IF(AQ118="1",BH118,0)</f>
        <v>0</v>
      </c>
      <c r="AC118" s="51">
        <f>IF(AQ118="1",BI118,0)</f>
        <v>0</v>
      </c>
      <c r="AD118" s="51">
        <f>IF(AQ118="7",BH118,0)</f>
        <v>0</v>
      </c>
      <c r="AE118" s="51">
        <f>IF(AQ118="7",BI118,0)</f>
        <v>0</v>
      </c>
      <c r="AF118" s="51">
        <f>IF(AQ118="2",BH118,0)</f>
        <v>0</v>
      </c>
      <c r="AG118" s="51">
        <f>IF(AQ118="2",BI118,0)</f>
        <v>0</v>
      </c>
      <c r="AH118" s="51">
        <f>IF(AQ118="0",BJ118,0)</f>
        <v>0</v>
      </c>
      <c r="AI118" s="35" t="s">
        <v>4</v>
      </c>
      <c r="AJ118" s="51">
        <f>IF(AN118=0,J118,0)</f>
        <v>0</v>
      </c>
      <c r="AK118" s="51">
        <f>IF(AN118=12,J118,0)</f>
        <v>0</v>
      </c>
      <c r="AL118" s="51">
        <f>IF(AN118=21,J118,0)</f>
        <v>0</v>
      </c>
      <c r="AN118" s="51">
        <v>21</v>
      </c>
      <c r="AO118" s="51">
        <f>G118*0</f>
        <v>0</v>
      </c>
      <c r="AP118" s="51">
        <f>G118*(1-0)</f>
        <v>0</v>
      </c>
      <c r="AQ118" s="53" t="s">
        <v>179</v>
      </c>
      <c r="AV118" s="51">
        <f>AW118+AX118</f>
        <v>0</v>
      </c>
      <c r="AW118" s="51">
        <f>F118*AO118</f>
        <v>0</v>
      </c>
      <c r="AX118" s="51">
        <f>F118*AP118</f>
        <v>0</v>
      </c>
      <c r="AY118" s="53" t="s">
        <v>301</v>
      </c>
      <c r="AZ118" s="53" t="s">
        <v>302</v>
      </c>
      <c r="BA118" s="35" t="s">
        <v>128</v>
      </c>
      <c r="BC118" s="51">
        <f>AW118+AX118</f>
        <v>0</v>
      </c>
      <c r="BD118" s="51">
        <f>G118/(100-BE118)*100</f>
        <v>0</v>
      </c>
      <c r="BE118" s="51">
        <v>0</v>
      </c>
      <c r="BF118" s="51">
        <f>118</f>
        <v>118</v>
      </c>
      <c r="BH118" s="51">
        <f>F118*AO118</f>
        <v>0</v>
      </c>
      <c r="BI118" s="51">
        <f>F118*AP118</f>
        <v>0</v>
      </c>
      <c r="BJ118" s="51">
        <f>F118*G118</f>
        <v>0</v>
      </c>
      <c r="BK118" s="51"/>
      <c r="BL118" s="51">
        <v>767</v>
      </c>
      <c r="BW118" s="51">
        <v>21</v>
      </c>
      <c r="BX118" s="2" t="s">
        <v>307</v>
      </c>
    </row>
    <row r="119" spans="1:76" x14ac:dyDescent="0.3">
      <c r="A119" s="54"/>
      <c r="C119" s="55" t="s">
        <v>230</v>
      </c>
      <c r="D119" s="56" t="s">
        <v>16</v>
      </c>
      <c r="F119" s="57">
        <v>19</v>
      </c>
      <c r="K119" s="58"/>
    </row>
    <row r="120" spans="1:76" x14ac:dyDescent="0.3">
      <c r="A120" s="54"/>
      <c r="C120" s="55" t="s">
        <v>213</v>
      </c>
      <c r="D120" s="56" t="s">
        <v>18</v>
      </c>
      <c r="F120" s="57">
        <v>31</v>
      </c>
      <c r="K120" s="58"/>
    </row>
    <row r="121" spans="1:76" x14ac:dyDescent="0.3">
      <c r="A121" s="54"/>
      <c r="C121" s="55" t="s">
        <v>230</v>
      </c>
      <c r="D121" s="56" t="s">
        <v>20</v>
      </c>
      <c r="F121" s="57">
        <v>19</v>
      </c>
      <c r="K121" s="58"/>
    </row>
    <row r="122" spans="1:76" x14ac:dyDescent="0.3">
      <c r="A122" s="1" t="s">
        <v>308</v>
      </c>
      <c r="B122" s="2" t="s">
        <v>309</v>
      </c>
      <c r="C122" s="71" t="s">
        <v>310</v>
      </c>
      <c r="D122" s="71"/>
      <c r="E122" s="2" t="s">
        <v>197</v>
      </c>
      <c r="F122" s="51">
        <v>38.450000000000003</v>
      </c>
      <c r="G122" s="51">
        <v>0</v>
      </c>
      <c r="H122" s="51">
        <f>F122*AO122</f>
        <v>0</v>
      </c>
      <c r="I122" s="51">
        <f>F122*AP122</f>
        <v>0</v>
      </c>
      <c r="J122" s="51">
        <f>F122*G122</f>
        <v>0</v>
      </c>
      <c r="K122" s="52" t="s">
        <v>125</v>
      </c>
      <c r="Z122" s="51">
        <f>IF(AQ122="5",BJ122,0)</f>
        <v>0</v>
      </c>
      <c r="AB122" s="51">
        <f>IF(AQ122="1",BH122,0)</f>
        <v>0</v>
      </c>
      <c r="AC122" s="51">
        <f>IF(AQ122="1",BI122,0)</f>
        <v>0</v>
      </c>
      <c r="AD122" s="51">
        <f>IF(AQ122="7",BH122,0)</f>
        <v>0</v>
      </c>
      <c r="AE122" s="51">
        <f>IF(AQ122="7",BI122,0)</f>
        <v>0</v>
      </c>
      <c r="AF122" s="51">
        <f>IF(AQ122="2",BH122,0)</f>
        <v>0</v>
      </c>
      <c r="AG122" s="51">
        <f>IF(AQ122="2",BI122,0)</f>
        <v>0</v>
      </c>
      <c r="AH122" s="51">
        <f>IF(AQ122="0",BJ122,0)</f>
        <v>0</v>
      </c>
      <c r="AI122" s="35" t="s">
        <v>4</v>
      </c>
      <c r="AJ122" s="51">
        <f>IF(AN122=0,J122,0)</f>
        <v>0</v>
      </c>
      <c r="AK122" s="51">
        <f>IF(AN122=12,J122,0)</f>
        <v>0</v>
      </c>
      <c r="AL122" s="51">
        <f>IF(AN122=21,J122,0)</f>
        <v>0</v>
      </c>
      <c r="AN122" s="51">
        <v>21</v>
      </c>
      <c r="AO122" s="51">
        <f>G122*0</f>
        <v>0</v>
      </c>
      <c r="AP122" s="51">
        <f>G122*(1-0)</f>
        <v>0</v>
      </c>
      <c r="AQ122" s="53" t="s">
        <v>179</v>
      </c>
      <c r="AV122" s="51">
        <f>AW122+AX122</f>
        <v>0</v>
      </c>
      <c r="AW122" s="51">
        <f>F122*AO122</f>
        <v>0</v>
      </c>
      <c r="AX122" s="51">
        <f>F122*AP122</f>
        <v>0</v>
      </c>
      <c r="AY122" s="53" t="s">
        <v>301</v>
      </c>
      <c r="AZ122" s="53" t="s">
        <v>302</v>
      </c>
      <c r="BA122" s="35" t="s">
        <v>128</v>
      </c>
      <c r="BC122" s="51">
        <f>AW122+AX122</f>
        <v>0</v>
      </c>
      <c r="BD122" s="51">
        <f>G122/(100-BE122)*100</f>
        <v>0</v>
      </c>
      <c r="BE122" s="51">
        <v>0</v>
      </c>
      <c r="BF122" s="51">
        <f>122</f>
        <v>122</v>
      </c>
      <c r="BH122" s="51">
        <f>F122*AO122</f>
        <v>0</v>
      </c>
      <c r="BI122" s="51">
        <f>F122*AP122</f>
        <v>0</v>
      </c>
      <c r="BJ122" s="51">
        <f>F122*G122</f>
        <v>0</v>
      </c>
      <c r="BK122" s="51"/>
      <c r="BL122" s="51">
        <v>767</v>
      </c>
      <c r="BW122" s="51">
        <v>21</v>
      </c>
      <c r="BX122" s="2" t="s">
        <v>310</v>
      </c>
    </row>
    <row r="123" spans="1:76" ht="26.4" x14ac:dyDescent="0.3">
      <c r="A123" s="54"/>
      <c r="C123" s="55" t="s">
        <v>247</v>
      </c>
      <c r="D123" s="56" t="s">
        <v>138</v>
      </c>
      <c r="F123" s="57">
        <v>38.450000000000003</v>
      </c>
      <c r="K123" s="58"/>
    </row>
    <row r="124" spans="1:76" ht="26.4" x14ac:dyDescent="0.3">
      <c r="A124" s="59" t="s">
        <v>311</v>
      </c>
      <c r="B124" s="27" t="s">
        <v>312</v>
      </c>
      <c r="C124" s="144" t="s">
        <v>313</v>
      </c>
      <c r="D124" s="144"/>
      <c r="E124" s="27" t="s">
        <v>228</v>
      </c>
      <c r="F124" s="60">
        <v>66</v>
      </c>
      <c r="G124" s="60">
        <v>0</v>
      </c>
      <c r="H124" s="60">
        <f>F124*AO124</f>
        <v>0</v>
      </c>
      <c r="I124" s="60">
        <f>F124*AP124</f>
        <v>0</v>
      </c>
      <c r="J124" s="60">
        <f>F124*G124</f>
        <v>0</v>
      </c>
      <c r="K124" s="61" t="s">
        <v>125</v>
      </c>
      <c r="Z124" s="51">
        <f>IF(AQ124="5",BJ124,0)</f>
        <v>0</v>
      </c>
      <c r="AB124" s="51">
        <f>IF(AQ124="1",BH124,0)</f>
        <v>0</v>
      </c>
      <c r="AC124" s="51">
        <f>IF(AQ124="1",BI124,0)</f>
        <v>0</v>
      </c>
      <c r="AD124" s="51">
        <f>IF(AQ124="7",BH124,0)</f>
        <v>0</v>
      </c>
      <c r="AE124" s="51">
        <f>IF(AQ124="7",BI124,0)</f>
        <v>0</v>
      </c>
      <c r="AF124" s="51">
        <f>IF(AQ124="2",BH124,0)</f>
        <v>0</v>
      </c>
      <c r="AG124" s="51">
        <f>IF(AQ124="2",BI124,0)</f>
        <v>0</v>
      </c>
      <c r="AH124" s="51">
        <f>IF(AQ124="0",BJ124,0)</f>
        <v>0</v>
      </c>
      <c r="AI124" s="35" t="s">
        <v>4</v>
      </c>
      <c r="AJ124" s="60">
        <f>IF(AN124=0,J124,0)</f>
        <v>0</v>
      </c>
      <c r="AK124" s="60">
        <f>IF(AN124=12,J124,0)</f>
        <v>0</v>
      </c>
      <c r="AL124" s="60">
        <f>IF(AN124=21,J124,0)</f>
        <v>0</v>
      </c>
      <c r="AN124" s="51">
        <v>21</v>
      </c>
      <c r="AO124" s="51">
        <f>G124*1</f>
        <v>0</v>
      </c>
      <c r="AP124" s="51">
        <f>G124*(1-1)</f>
        <v>0</v>
      </c>
      <c r="AQ124" s="62" t="s">
        <v>179</v>
      </c>
      <c r="AV124" s="51">
        <f>AW124+AX124</f>
        <v>0</v>
      </c>
      <c r="AW124" s="51">
        <f>F124*AO124</f>
        <v>0</v>
      </c>
      <c r="AX124" s="51">
        <f>F124*AP124</f>
        <v>0</v>
      </c>
      <c r="AY124" s="53" t="s">
        <v>301</v>
      </c>
      <c r="AZ124" s="53" t="s">
        <v>302</v>
      </c>
      <c r="BA124" s="35" t="s">
        <v>128</v>
      </c>
      <c r="BC124" s="51">
        <f>AW124+AX124</f>
        <v>0</v>
      </c>
      <c r="BD124" s="51">
        <f>G124/(100-BE124)*100</f>
        <v>0</v>
      </c>
      <c r="BE124" s="51">
        <v>0</v>
      </c>
      <c r="BF124" s="51">
        <f>124</f>
        <v>124</v>
      </c>
      <c r="BH124" s="60">
        <f>F124*AO124</f>
        <v>0</v>
      </c>
      <c r="BI124" s="60">
        <f>F124*AP124</f>
        <v>0</v>
      </c>
      <c r="BJ124" s="60">
        <f>F124*G124</f>
        <v>0</v>
      </c>
      <c r="BK124" s="60"/>
      <c r="BL124" s="51">
        <v>767</v>
      </c>
      <c r="BW124" s="51">
        <v>21</v>
      </c>
      <c r="BX124" s="27" t="s">
        <v>313</v>
      </c>
    </row>
    <row r="125" spans="1:76" x14ac:dyDescent="0.3">
      <c r="A125" s="54"/>
      <c r="C125" s="55" t="s">
        <v>222</v>
      </c>
      <c r="D125" s="56" t="s">
        <v>16</v>
      </c>
      <c r="F125" s="57">
        <v>18</v>
      </c>
      <c r="K125" s="58"/>
    </row>
    <row r="126" spans="1:76" x14ac:dyDescent="0.3">
      <c r="A126" s="54"/>
      <c r="C126" s="55" t="s">
        <v>221</v>
      </c>
      <c r="D126" s="56" t="s">
        <v>18</v>
      </c>
      <c r="F126" s="57">
        <v>30</v>
      </c>
      <c r="K126" s="58"/>
    </row>
    <row r="127" spans="1:76" x14ac:dyDescent="0.3">
      <c r="A127" s="54"/>
      <c r="C127" s="55" t="s">
        <v>222</v>
      </c>
      <c r="D127" s="56" t="s">
        <v>20</v>
      </c>
      <c r="F127" s="57">
        <v>18</v>
      </c>
      <c r="K127" s="58"/>
    </row>
    <row r="128" spans="1:76" ht="26.4" x14ac:dyDescent="0.3">
      <c r="A128" s="1" t="s">
        <v>213</v>
      </c>
      <c r="B128" s="2" t="s">
        <v>314</v>
      </c>
      <c r="C128" s="71" t="s">
        <v>315</v>
      </c>
      <c r="D128" s="71"/>
      <c r="E128" s="2" t="s">
        <v>228</v>
      </c>
      <c r="F128" s="51">
        <v>1</v>
      </c>
      <c r="G128" s="51">
        <v>0</v>
      </c>
      <c r="H128" s="51">
        <f>F128*AO128</f>
        <v>0</v>
      </c>
      <c r="I128" s="51">
        <f>F128*AP128</f>
        <v>0</v>
      </c>
      <c r="J128" s="51">
        <f>F128*G128</f>
        <v>0</v>
      </c>
      <c r="K128" s="52" t="s">
        <v>125</v>
      </c>
      <c r="Z128" s="51">
        <f>IF(AQ128="5",BJ128,0)</f>
        <v>0</v>
      </c>
      <c r="AB128" s="51">
        <f>IF(AQ128="1",BH128,0)</f>
        <v>0</v>
      </c>
      <c r="AC128" s="51">
        <f>IF(AQ128="1",BI128,0)</f>
        <v>0</v>
      </c>
      <c r="AD128" s="51">
        <f>IF(AQ128="7",BH128,0)</f>
        <v>0</v>
      </c>
      <c r="AE128" s="51">
        <f>IF(AQ128="7",BI128,0)</f>
        <v>0</v>
      </c>
      <c r="AF128" s="51">
        <f>IF(AQ128="2",BH128,0)</f>
        <v>0</v>
      </c>
      <c r="AG128" s="51">
        <f>IF(AQ128="2",BI128,0)</f>
        <v>0</v>
      </c>
      <c r="AH128" s="51">
        <f>IF(AQ128="0",BJ128,0)</f>
        <v>0</v>
      </c>
      <c r="AI128" s="35" t="s">
        <v>4</v>
      </c>
      <c r="AJ128" s="51">
        <f>IF(AN128=0,J128,0)</f>
        <v>0</v>
      </c>
      <c r="AK128" s="51">
        <f>IF(AN128=12,J128,0)</f>
        <v>0</v>
      </c>
      <c r="AL128" s="51">
        <f>IF(AN128=21,J128,0)</f>
        <v>0</v>
      </c>
      <c r="AN128" s="51">
        <v>21</v>
      </c>
      <c r="AO128" s="51">
        <f>G128*0</f>
        <v>0</v>
      </c>
      <c r="AP128" s="51">
        <f>G128*(1-0)</f>
        <v>0</v>
      </c>
      <c r="AQ128" s="53" t="s">
        <v>179</v>
      </c>
      <c r="AV128" s="51">
        <f>AW128+AX128</f>
        <v>0</v>
      </c>
      <c r="AW128" s="51">
        <f>F128*AO128</f>
        <v>0</v>
      </c>
      <c r="AX128" s="51">
        <f>F128*AP128</f>
        <v>0</v>
      </c>
      <c r="AY128" s="53" t="s">
        <v>301</v>
      </c>
      <c r="AZ128" s="53" t="s">
        <v>302</v>
      </c>
      <c r="BA128" s="35" t="s">
        <v>128</v>
      </c>
      <c r="BC128" s="51">
        <f>AW128+AX128</f>
        <v>0</v>
      </c>
      <c r="BD128" s="51">
        <f>G128/(100-BE128)*100</f>
        <v>0</v>
      </c>
      <c r="BE128" s="51">
        <v>0</v>
      </c>
      <c r="BF128" s="51">
        <f>128</f>
        <v>128</v>
      </c>
      <c r="BH128" s="51">
        <f>F128*AO128</f>
        <v>0</v>
      </c>
      <c r="BI128" s="51">
        <f>F128*AP128</f>
        <v>0</v>
      </c>
      <c r="BJ128" s="51">
        <f>F128*G128</f>
        <v>0</v>
      </c>
      <c r="BK128" s="51"/>
      <c r="BL128" s="51">
        <v>767</v>
      </c>
      <c r="BW128" s="51">
        <v>21</v>
      </c>
      <c r="BX128" s="2" t="s">
        <v>315</v>
      </c>
    </row>
    <row r="129" spans="1:76" x14ac:dyDescent="0.3">
      <c r="A129" s="54"/>
      <c r="C129" s="55" t="s">
        <v>121</v>
      </c>
      <c r="D129" s="56" t="s">
        <v>316</v>
      </c>
      <c r="F129" s="57">
        <v>1</v>
      </c>
      <c r="K129" s="58"/>
    </row>
    <row r="130" spans="1:76" ht="26.4" x14ac:dyDescent="0.3">
      <c r="A130" s="1" t="s">
        <v>317</v>
      </c>
      <c r="B130" s="2" t="s">
        <v>318</v>
      </c>
      <c r="C130" s="71" t="s">
        <v>319</v>
      </c>
      <c r="D130" s="71"/>
      <c r="E130" s="2" t="s">
        <v>228</v>
      </c>
      <c r="F130" s="51">
        <v>2</v>
      </c>
      <c r="G130" s="51">
        <v>0</v>
      </c>
      <c r="H130" s="51">
        <f>F130*AO130</f>
        <v>0</v>
      </c>
      <c r="I130" s="51">
        <f>F130*AP130</f>
        <v>0</v>
      </c>
      <c r="J130" s="51">
        <f>F130*G130</f>
        <v>0</v>
      </c>
      <c r="K130" s="52" t="s">
        <v>125</v>
      </c>
      <c r="Z130" s="51">
        <f>IF(AQ130="5",BJ130,0)</f>
        <v>0</v>
      </c>
      <c r="AB130" s="51">
        <f>IF(AQ130="1",BH130,0)</f>
        <v>0</v>
      </c>
      <c r="AC130" s="51">
        <f>IF(AQ130="1",BI130,0)</f>
        <v>0</v>
      </c>
      <c r="AD130" s="51">
        <f>IF(AQ130="7",BH130,0)</f>
        <v>0</v>
      </c>
      <c r="AE130" s="51">
        <f>IF(AQ130="7",BI130,0)</f>
        <v>0</v>
      </c>
      <c r="AF130" s="51">
        <f>IF(AQ130="2",BH130,0)</f>
        <v>0</v>
      </c>
      <c r="AG130" s="51">
        <f>IF(AQ130="2",BI130,0)</f>
        <v>0</v>
      </c>
      <c r="AH130" s="51">
        <f>IF(AQ130="0",BJ130,0)</f>
        <v>0</v>
      </c>
      <c r="AI130" s="35" t="s">
        <v>4</v>
      </c>
      <c r="AJ130" s="51">
        <f>IF(AN130=0,J130,0)</f>
        <v>0</v>
      </c>
      <c r="AK130" s="51">
        <f>IF(AN130=12,J130,0)</f>
        <v>0</v>
      </c>
      <c r="AL130" s="51">
        <f>IF(AN130=21,J130,0)</f>
        <v>0</v>
      </c>
      <c r="AN130" s="51">
        <v>21</v>
      </c>
      <c r="AO130" s="51">
        <f>G130*0</f>
        <v>0</v>
      </c>
      <c r="AP130" s="51">
        <f>G130*(1-0)</f>
        <v>0</v>
      </c>
      <c r="AQ130" s="53" t="s">
        <v>179</v>
      </c>
      <c r="AV130" s="51">
        <f>AW130+AX130</f>
        <v>0</v>
      </c>
      <c r="AW130" s="51">
        <f>F130*AO130</f>
        <v>0</v>
      </c>
      <c r="AX130" s="51">
        <f>F130*AP130</f>
        <v>0</v>
      </c>
      <c r="AY130" s="53" t="s">
        <v>301</v>
      </c>
      <c r="AZ130" s="53" t="s">
        <v>302</v>
      </c>
      <c r="BA130" s="35" t="s">
        <v>128</v>
      </c>
      <c r="BC130" s="51">
        <f>AW130+AX130</f>
        <v>0</v>
      </c>
      <c r="BD130" s="51">
        <f>G130/(100-BE130)*100</f>
        <v>0</v>
      </c>
      <c r="BE130" s="51">
        <v>0</v>
      </c>
      <c r="BF130" s="51">
        <f>130</f>
        <v>130</v>
      </c>
      <c r="BH130" s="51">
        <f>F130*AO130</f>
        <v>0</v>
      </c>
      <c r="BI130" s="51">
        <f>F130*AP130</f>
        <v>0</v>
      </c>
      <c r="BJ130" s="51">
        <f>F130*G130</f>
        <v>0</v>
      </c>
      <c r="BK130" s="51"/>
      <c r="BL130" s="51">
        <v>767</v>
      </c>
      <c r="BW130" s="51">
        <v>21</v>
      </c>
      <c r="BX130" s="2" t="s">
        <v>319</v>
      </c>
    </row>
    <row r="131" spans="1:76" x14ac:dyDescent="0.3">
      <c r="A131" s="54"/>
      <c r="C131" s="55" t="s">
        <v>121</v>
      </c>
      <c r="D131" s="56" t="s">
        <v>320</v>
      </c>
      <c r="F131" s="57">
        <v>1</v>
      </c>
      <c r="K131" s="58"/>
    </row>
    <row r="132" spans="1:76" x14ac:dyDescent="0.3">
      <c r="A132" s="54"/>
      <c r="C132" s="55" t="s">
        <v>121</v>
      </c>
      <c r="D132" s="56" t="s">
        <v>321</v>
      </c>
      <c r="F132" s="57">
        <v>1</v>
      </c>
      <c r="K132" s="58"/>
    </row>
    <row r="133" spans="1:76" x14ac:dyDescent="0.3">
      <c r="A133" s="1" t="s">
        <v>223</v>
      </c>
      <c r="B133" s="2" t="s">
        <v>322</v>
      </c>
      <c r="C133" s="71" t="s">
        <v>323</v>
      </c>
      <c r="D133" s="71"/>
      <c r="E133" s="2" t="s">
        <v>190</v>
      </c>
      <c r="F133" s="51">
        <v>1.43</v>
      </c>
      <c r="G133" s="51">
        <v>0</v>
      </c>
      <c r="H133" s="51">
        <f>F133*AO133</f>
        <v>0</v>
      </c>
      <c r="I133" s="51">
        <f>F133*AP133</f>
        <v>0</v>
      </c>
      <c r="J133" s="51">
        <f>F133*G133</f>
        <v>0</v>
      </c>
      <c r="K133" s="52" t="s">
        <v>125</v>
      </c>
      <c r="Z133" s="51">
        <f>IF(AQ133="5",BJ133,0)</f>
        <v>0</v>
      </c>
      <c r="AB133" s="51">
        <f>IF(AQ133="1",BH133,0)</f>
        <v>0</v>
      </c>
      <c r="AC133" s="51">
        <f>IF(AQ133="1",BI133,0)</f>
        <v>0</v>
      </c>
      <c r="AD133" s="51">
        <f>IF(AQ133="7",BH133,0)</f>
        <v>0</v>
      </c>
      <c r="AE133" s="51">
        <f>IF(AQ133="7",BI133,0)</f>
        <v>0</v>
      </c>
      <c r="AF133" s="51">
        <f>IF(AQ133="2",BH133,0)</f>
        <v>0</v>
      </c>
      <c r="AG133" s="51">
        <f>IF(AQ133="2",BI133,0)</f>
        <v>0</v>
      </c>
      <c r="AH133" s="51">
        <f>IF(AQ133="0",BJ133,0)</f>
        <v>0</v>
      </c>
      <c r="AI133" s="35" t="s">
        <v>4</v>
      </c>
      <c r="AJ133" s="51">
        <f>IF(AN133=0,J133,0)</f>
        <v>0</v>
      </c>
      <c r="AK133" s="51">
        <f>IF(AN133=12,J133,0)</f>
        <v>0</v>
      </c>
      <c r="AL133" s="51">
        <f>IF(AN133=21,J133,0)</f>
        <v>0</v>
      </c>
      <c r="AN133" s="51">
        <v>21</v>
      </c>
      <c r="AO133" s="51">
        <f>G133*0</f>
        <v>0</v>
      </c>
      <c r="AP133" s="51">
        <f>G133*(1-0)</f>
        <v>0</v>
      </c>
      <c r="AQ133" s="53" t="s">
        <v>171</v>
      </c>
      <c r="AV133" s="51">
        <f>AW133+AX133</f>
        <v>0</v>
      </c>
      <c r="AW133" s="51">
        <f>F133*AO133</f>
        <v>0</v>
      </c>
      <c r="AX133" s="51">
        <f>F133*AP133</f>
        <v>0</v>
      </c>
      <c r="AY133" s="53" t="s">
        <v>301</v>
      </c>
      <c r="AZ133" s="53" t="s">
        <v>302</v>
      </c>
      <c r="BA133" s="35" t="s">
        <v>128</v>
      </c>
      <c r="BC133" s="51">
        <f>AW133+AX133</f>
        <v>0</v>
      </c>
      <c r="BD133" s="51">
        <f>G133/(100-BE133)*100</f>
        <v>0</v>
      </c>
      <c r="BE133" s="51">
        <v>0</v>
      </c>
      <c r="BF133" s="51">
        <f>133</f>
        <v>133</v>
      </c>
      <c r="BH133" s="51">
        <f>F133*AO133</f>
        <v>0</v>
      </c>
      <c r="BI133" s="51">
        <f>F133*AP133</f>
        <v>0</v>
      </c>
      <c r="BJ133" s="51">
        <f>F133*G133</f>
        <v>0</v>
      </c>
      <c r="BK133" s="51"/>
      <c r="BL133" s="51">
        <v>767</v>
      </c>
      <c r="BW133" s="51">
        <v>21</v>
      </c>
      <c r="BX133" s="2" t="s">
        <v>323</v>
      </c>
    </row>
    <row r="134" spans="1:76" x14ac:dyDescent="0.3">
      <c r="A134" s="48" t="s">
        <v>4</v>
      </c>
      <c r="B134" s="26" t="s">
        <v>324</v>
      </c>
      <c r="C134" s="142" t="s">
        <v>325</v>
      </c>
      <c r="D134" s="142"/>
      <c r="E134" s="49" t="s">
        <v>80</v>
      </c>
      <c r="F134" s="49" t="s">
        <v>80</v>
      </c>
      <c r="G134" s="49" t="s">
        <v>80</v>
      </c>
      <c r="H134" s="29">
        <f>SUM(H135:H135)</f>
        <v>0</v>
      </c>
      <c r="I134" s="29">
        <f>SUM(I135:I135)</f>
        <v>0</v>
      </c>
      <c r="J134" s="29">
        <f>SUM(J135:J135)</f>
        <v>0</v>
      </c>
      <c r="K134" s="50" t="s">
        <v>4</v>
      </c>
      <c r="AI134" s="35" t="s">
        <v>4</v>
      </c>
      <c r="AS134" s="29">
        <f>SUM(AJ135:AJ135)</f>
        <v>0</v>
      </c>
      <c r="AT134" s="29">
        <f>SUM(AK135:AK135)</f>
        <v>0</v>
      </c>
      <c r="AU134" s="29">
        <f>SUM(AL135:AL135)</f>
        <v>0</v>
      </c>
    </row>
    <row r="135" spans="1:76" x14ac:dyDescent="0.3">
      <c r="A135" s="1" t="s">
        <v>239</v>
      </c>
      <c r="B135" s="2" t="s">
        <v>326</v>
      </c>
      <c r="C135" s="71" t="s">
        <v>327</v>
      </c>
      <c r="D135" s="71"/>
      <c r="E135" s="2" t="s">
        <v>197</v>
      </c>
      <c r="F135" s="51">
        <v>103.67</v>
      </c>
      <c r="G135" s="51">
        <v>0</v>
      </c>
      <c r="H135" s="51">
        <f>F135*AO135</f>
        <v>0</v>
      </c>
      <c r="I135" s="51">
        <f>F135*AP135</f>
        <v>0</v>
      </c>
      <c r="J135" s="51">
        <f>F135*G135</f>
        <v>0</v>
      </c>
      <c r="K135" s="52" t="s">
        <v>125</v>
      </c>
      <c r="Z135" s="51">
        <f>IF(AQ135="5",BJ135,0)</f>
        <v>0</v>
      </c>
      <c r="AB135" s="51">
        <f>IF(AQ135="1",BH135,0)</f>
        <v>0</v>
      </c>
      <c r="AC135" s="51">
        <f>IF(AQ135="1",BI135,0)</f>
        <v>0</v>
      </c>
      <c r="AD135" s="51">
        <f>IF(AQ135="7",BH135,0)</f>
        <v>0</v>
      </c>
      <c r="AE135" s="51">
        <f>IF(AQ135="7",BI135,0)</f>
        <v>0</v>
      </c>
      <c r="AF135" s="51">
        <f>IF(AQ135="2",BH135,0)</f>
        <v>0</v>
      </c>
      <c r="AG135" s="51">
        <f>IF(AQ135="2",BI135,0)</f>
        <v>0</v>
      </c>
      <c r="AH135" s="51">
        <f>IF(AQ135="0",BJ135,0)</f>
        <v>0</v>
      </c>
      <c r="AI135" s="35" t="s">
        <v>4</v>
      </c>
      <c r="AJ135" s="51">
        <f>IF(AN135=0,J135,0)</f>
        <v>0</v>
      </c>
      <c r="AK135" s="51">
        <f>IF(AN135=12,J135,0)</f>
        <v>0</v>
      </c>
      <c r="AL135" s="51">
        <f>IF(AN135=21,J135,0)</f>
        <v>0</v>
      </c>
      <c r="AN135" s="51">
        <v>21</v>
      </c>
      <c r="AO135" s="51">
        <f>G135*0.56487395</f>
        <v>0</v>
      </c>
      <c r="AP135" s="51">
        <f>G135*(1-0.56487395)</f>
        <v>0</v>
      </c>
      <c r="AQ135" s="53" t="s">
        <v>121</v>
      </c>
      <c r="AV135" s="51">
        <f>AW135+AX135</f>
        <v>0</v>
      </c>
      <c r="AW135" s="51">
        <f>F135*AO135</f>
        <v>0</v>
      </c>
      <c r="AX135" s="51">
        <f>F135*AP135</f>
        <v>0</v>
      </c>
      <c r="AY135" s="53" t="s">
        <v>328</v>
      </c>
      <c r="AZ135" s="53" t="s">
        <v>329</v>
      </c>
      <c r="BA135" s="35" t="s">
        <v>128</v>
      </c>
      <c r="BC135" s="51">
        <f>AW135+AX135</f>
        <v>0</v>
      </c>
      <c r="BD135" s="51">
        <f>G135/(100-BE135)*100</f>
        <v>0</v>
      </c>
      <c r="BE135" s="51">
        <v>0</v>
      </c>
      <c r="BF135" s="51">
        <f>135</f>
        <v>135</v>
      </c>
      <c r="BH135" s="51">
        <f>F135*AO135</f>
        <v>0</v>
      </c>
      <c r="BI135" s="51">
        <f>F135*AP135</f>
        <v>0</v>
      </c>
      <c r="BJ135" s="51">
        <f>F135*G135</f>
        <v>0</v>
      </c>
      <c r="BK135" s="51"/>
      <c r="BL135" s="51">
        <v>91</v>
      </c>
      <c r="BW135" s="51">
        <v>21</v>
      </c>
      <c r="BX135" s="2" t="s">
        <v>327</v>
      </c>
    </row>
    <row r="136" spans="1:76" ht="26.4" x14ac:dyDescent="0.3">
      <c r="A136" s="54"/>
      <c r="C136" s="55" t="s">
        <v>247</v>
      </c>
      <c r="D136" s="56" t="s">
        <v>265</v>
      </c>
      <c r="F136" s="57">
        <v>38.450000000000003</v>
      </c>
      <c r="K136" s="58"/>
    </row>
    <row r="137" spans="1:76" x14ac:dyDescent="0.3">
      <c r="A137" s="54"/>
      <c r="C137" s="55" t="s">
        <v>303</v>
      </c>
      <c r="D137" s="56" t="s">
        <v>267</v>
      </c>
      <c r="F137" s="57">
        <v>65.22</v>
      </c>
      <c r="K137" s="58"/>
    </row>
    <row r="138" spans="1:76" x14ac:dyDescent="0.3">
      <c r="A138" s="48" t="s">
        <v>4</v>
      </c>
      <c r="B138" s="26" t="s">
        <v>330</v>
      </c>
      <c r="C138" s="142" t="s">
        <v>331</v>
      </c>
      <c r="D138" s="142"/>
      <c r="E138" s="49" t="s">
        <v>80</v>
      </c>
      <c r="F138" s="49" t="s">
        <v>80</v>
      </c>
      <c r="G138" s="49" t="s">
        <v>80</v>
      </c>
      <c r="H138" s="29">
        <f>SUM(H139:H139)</f>
        <v>0</v>
      </c>
      <c r="I138" s="29">
        <f>SUM(I139:I139)</f>
        <v>0</v>
      </c>
      <c r="J138" s="29">
        <f>SUM(J139:J139)</f>
        <v>0</v>
      </c>
      <c r="K138" s="50" t="s">
        <v>4</v>
      </c>
      <c r="AI138" s="35" t="s">
        <v>4</v>
      </c>
      <c r="AS138" s="29">
        <f>SUM(AJ139:AJ139)</f>
        <v>0</v>
      </c>
      <c r="AT138" s="29">
        <f>SUM(AK139:AK139)</f>
        <v>0</v>
      </c>
      <c r="AU138" s="29">
        <f>SUM(AL139:AL139)</f>
        <v>0</v>
      </c>
    </row>
    <row r="139" spans="1:76" x14ac:dyDescent="0.3">
      <c r="A139" s="1" t="s">
        <v>332</v>
      </c>
      <c r="B139" s="2" t="s">
        <v>333</v>
      </c>
      <c r="C139" s="71" t="s">
        <v>334</v>
      </c>
      <c r="D139" s="71"/>
      <c r="E139" s="2" t="s">
        <v>124</v>
      </c>
      <c r="F139" s="51">
        <v>44.26</v>
      </c>
      <c r="G139" s="51">
        <v>0</v>
      </c>
      <c r="H139" s="51">
        <f>F139*AO139</f>
        <v>0</v>
      </c>
      <c r="I139" s="51">
        <f>F139*AP139</f>
        <v>0</v>
      </c>
      <c r="J139" s="51">
        <f>F139*G139</f>
        <v>0</v>
      </c>
      <c r="K139" s="52" t="s">
        <v>125</v>
      </c>
      <c r="Z139" s="51">
        <f>IF(AQ139="5",BJ139,0)</f>
        <v>0</v>
      </c>
      <c r="AB139" s="51">
        <f>IF(AQ139="1",BH139,0)</f>
        <v>0</v>
      </c>
      <c r="AC139" s="51">
        <f>IF(AQ139="1",BI139,0)</f>
        <v>0</v>
      </c>
      <c r="AD139" s="51">
        <f>IF(AQ139="7",BH139,0)</f>
        <v>0</v>
      </c>
      <c r="AE139" s="51">
        <f>IF(AQ139="7",BI139,0)</f>
        <v>0</v>
      </c>
      <c r="AF139" s="51">
        <f>IF(AQ139="2",BH139,0)</f>
        <v>0</v>
      </c>
      <c r="AG139" s="51">
        <f>IF(AQ139="2",BI139,0)</f>
        <v>0</v>
      </c>
      <c r="AH139" s="51">
        <f>IF(AQ139="0",BJ139,0)</f>
        <v>0</v>
      </c>
      <c r="AI139" s="35" t="s">
        <v>4</v>
      </c>
      <c r="AJ139" s="51">
        <f>IF(AN139=0,J139,0)</f>
        <v>0</v>
      </c>
      <c r="AK139" s="51">
        <f>IF(AN139=12,J139,0)</f>
        <v>0</v>
      </c>
      <c r="AL139" s="51">
        <f>IF(AN139=21,J139,0)</f>
        <v>0</v>
      </c>
      <c r="AN139" s="51">
        <v>21</v>
      </c>
      <c r="AO139" s="51">
        <f>G139*0</f>
        <v>0</v>
      </c>
      <c r="AP139" s="51">
        <f>G139*(1-0)</f>
        <v>0</v>
      </c>
      <c r="AQ139" s="53" t="s">
        <v>121</v>
      </c>
      <c r="AV139" s="51">
        <f>AW139+AX139</f>
        <v>0</v>
      </c>
      <c r="AW139" s="51">
        <f>F139*AO139</f>
        <v>0</v>
      </c>
      <c r="AX139" s="51">
        <f>F139*AP139</f>
        <v>0</v>
      </c>
      <c r="AY139" s="53" t="s">
        <v>335</v>
      </c>
      <c r="AZ139" s="53" t="s">
        <v>329</v>
      </c>
      <c r="BA139" s="35" t="s">
        <v>128</v>
      </c>
      <c r="BC139" s="51">
        <f>AW139+AX139</f>
        <v>0</v>
      </c>
      <c r="BD139" s="51">
        <f>G139/(100-BE139)*100</f>
        <v>0</v>
      </c>
      <c r="BE139" s="51">
        <v>0</v>
      </c>
      <c r="BF139" s="51">
        <f>139</f>
        <v>139</v>
      </c>
      <c r="BH139" s="51">
        <f>F139*AO139</f>
        <v>0</v>
      </c>
      <c r="BI139" s="51">
        <f>F139*AP139</f>
        <v>0</v>
      </c>
      <c r="BJ139" s="51">
        <f>F139*G139</f>
        <v>0</v>
      </c>
      <c r="BK139" s="51"/>
      <c r="BL139" s="51">
        <v>96</v>
      </c>
      <c r="BW139" s="51">
        <v>21</v>
      </c>
      <c r="BX139" s="2" t="s">
        <v>334</v>
      </c>
    </row>
    <row r="140" spans="1:76" ht="26.4" x14ac:dyDescent="0.3">
      <c r="A140" s="54"/>
      <c r="C140" s="55" t="s">
        <v>336</v>
      </c>
      <c r="D140" s="56" t="s">
        <v>337</v>
      </c>
      <c r="F140" s="57">
        <v>11.54</v>
      </c>
      <c r="K140" s="58"/>
    </row>
    <row r="141" spans="1:76" x14ac:dyDescent="0.3">
      <c r="A141" s="54"/>
      <c r="C141" s="55" t="s">
        <v>338</v>
      </c>
      <c r="D141" s="56" t="s">
        <v>339</v>
      </c>
      <c r="F141" s="57">
        <v>19.57</v>
      </c>
      <c r="K141" s="58"/>
    </row>
    <row r="142" spans="1:76" x14ac:dyDescent="0.3">
      <c r="A142" s="54"/>
      <c r="C142" s="55" t="s">
        <v>340</v>
      </c>
      <c r="D142" s="56" t="s">
        <v>341</v>
      </c>
      <c r="F142" s="57">
        <v>13.15</v>
      </c>
      <c r="K142" s="58"/>
    </row>
    <row r="143" spans="1:76" x14ac:dyDescent="0.3">
      <c r="A143" s="48" t="s">
        <v>4</v>
      </c>
      <c r="B143" s="26" t="s">
        <v>342</v>
      </c>
      <c r="C143" s="142" t="s">
        <v>343</v>
      </c>
      <c r="D143" s="142"/>
      <c r="E143" s="49" t="s">
        <v>80</v>
      </c>
      <c r="F143" s="49" t="s">
        <v>80</v>
      </c>
      <c r="G143" s="49" t="s">
        <v>80</v>
      </c>
      <c r="H143" s="29">
        <f>SUM(H144:H144)</f>
        <v>0</v>
      </c>
      <c r="I143" s="29">
        <f>SUM(I144:I144)</f>
        <v>0</v>
      </c>
      <c r="J143" s="29">
        <f>SUM(J144:J144)</f>
        <v>0</v>
      </c>
      <c r="K143" s="50" t="s">
        <v>4</v>
      </c>
      <c r="AI143" s="35" t="s">
        <v>4</v>
      </c>
      <c r="AS143" s="29">
        <f>SUM(AJ144:AJ144)</f>
        <v>0</v>
      </c>
      <c r="AT143" s="29">
        <f>SUM(AK144:AK144)</f>
        <v>0</v>
      </c>
      <c r="AU143" s="29">
        <f>SUM(AL144:AL144)</f>
        <v>0</v>
      </c>
    </row>
    <row r="144" spans="1:76" x14ac:dyDescent="0.3">
      <c r="A144" s="1" t="s">
        <v>344</v>
      </c>
      <c r="B144" s="2" t="s">
        <v>345</v>
      </c>
      <c r="C144" s="71" t="s">
        <v>346</v>
      </c>
      <c r="D144" s="71"/>
      <c r="E144" s="2" t="s">
        <v>190</v>
      </c>
      <c r="F144" s="51">
        <v>68.84</v>
      </c>
      <c r="G144" s="51">
        <v>0</v>
      </c>
      <c r="H144" s="51">
        <f>F144*AO144</f>
        <v>0</v>
      </c>
      <c r="I144" s="51">
        <f>F144*AP144</f>
        <v>0</v>
      </c>
      <c r="J144" s="51">
        <f>F144*G144</f>
        <v>0</v>
      </c>
      <c r="K144" s="52" t="s">
        <v>125</v>
      </c>
      <c r="Z144" s="51">
        <f>IF(AQ144="5",BJ144,0)</f>
        <v>0</v>
      </c>
      <c r="AB144" s="51">
        <f>IF(AQ144="1",BH144,0)</f>
        <v>0</v>
      </c>
      <c r="AC144" s="51">
        <f>IF(AQ144="1",BI144,0)</f>
        <v>0</v>
      </c>
      <c r="AD144" s="51">
        <f>IF(AQ144="7",BH144,0)</f>
        <v>0</v>
      </c>
      <c r="AE144" s="51">
        <f>IF(AQ144="7",BI144,0)</f>
        <v>0</v>
      </c>
      <c r="AF144" s="51">
        <f>IF(AQ144="2",BH144,0)</f>
        <v>0</v>
      </c>
      <c r="AG144" s="51">
        <f>IF(AQ144="2",BI144,0)</f>
        <v>0</v>
      </c>
      <c r="AH144" s="51">
        <f>IF(AQ144="0",BJ144,0)</f>
        <v>0</v>
      </c>
      <c r="AI144" s="35" t="s">
        <v>4</v>
      </c>
      <c r="AJ144" s="51">
        <f>IF(AN144=0,J144,0)</f>
        <v>0</v>
      </c>
      <c r="AK144" s="51">
        <f>IF(AN144=12,J144,0)</f>
        <v>0</v>
      </c>
      <c r="AL144" s="51">
        <f>IF(AN144=21,J144,0)</f>
        <v>0</v>
      </c>
      <c r="AN144" s="51">
        <v>21</v>
      </c>
      <c r="AO144" s="51">
        <f>G144*0</f>
        <v>0</v>
      </c>
      <c r="AP144" s="51">
        <f>G144*(1-0)</f>
        <v>0</v>
      </c>
      <c r="AQ144" s="53" t="s">
        <v>171</v>
      </c>
      <c r="AV144" s="51">
        <f>AW144+AX144</f>
        <v>0</v>
      </c>
      <c r="AW144" s="51">
        <f>F144*AO144</f>
        <v>0</v>
      </c>
      <c r="AX144" s="51">
        <f>F144*AP144</f>
        <v>0</v>
      </c>
      <c r="AY144" s="53" t="s">
        <v>347</v>
      </c>
      <c r="AZ144" s="53" t="s">
        <v>329</v>
      </c>
      <c r="BA144" s="35" t="s">
        <v>128</v>
      </c>
      <c r="BC144" s="51">
        <f>AW144+AX144</f>
        <v>0</v>
      </c>
      <c r="BD144" s="51">
        <f>G144/(100-BE144)*100</f>
        <v>0</v>
      </c>
      <c r="BE144" s="51">
        <v>0</v>
      </c>
      <c r="BF144" s="51">
        <f>144</f>
        <v>144</v>
      </c>
      <c r="BH144" s="51">
        <f>F144*AO144</f>
        <v>0</v>
      </c>
      <c r="BI144" s="51">
        <f>F144*AP144</f>
        <v>0</v>
      </c>
      <c r="BJ144" s="51">
        <f>F144*G144</f>
        <v>0</v>
      </c>
      <c r="BK144" s="51"/>
      <c r="BL144" s="51"/>
      <c r="BW144" s="51">
        <v>21</v>
      </c>
      <c r="BX144" s="2" t="s">
        <v>346</v>
      </c>
    </row>
    <row r="145" spans="1:76" x14ac:dyDescent="0.3">
      <c r="A145" s="48" t="s">
        <v>4</v>
      </c>
      <c r="B145" s="26" t="s">
        <v>348</v>
      </c>
      <c r="C145" s="142" t="s">
        <v>349</v>
      </c>
      <c r="D145" s="142"/>
      <c r="E145" s="49" t="s">
        <v>80</v>
      </c>
      <c r="F145" s="49" t="s">
        <v>80</v>
      </c>
      <c r="G145" s="49" t="s">
        <v>80</v>
      </c>
      <c r="H145" s="29">
        <f>SUM(H146:H153)</f>
        <v>0</v>
      </c>
      <c r="I145" s="29">
        <f>SUM(I146:I153)</f>
        <v>0</v>
      </c>
      <c r="J145" s="29">
        <f>SUM(J146:J153)</f>
        <v>0</v>
      </c>
      <c r="K145" s="50" t="s">
        <v>4</v>
      </c>
      <c r="AI145" s="35" t="s">
        <v>4</v>
      </c>
      <c r="AS145" s="29">
        <f>SUM(AJ146:AJ153)</f>
        <v>0</v>
      </c>
      <c r="AT145" s="29">
        <f>SUM(AK146:AK153)</f>
        <v>0</v>
      </c>
      <c r="AU145" s="29">
        <f>SUM(AL146:AL153)</f>
        <v>0</v>
      </c>
    </row>
    <row r="146" spans="1:76" x14ac:dyDescent="0.3">
      <c r="A146" s="1" t="s">
        <v>350</v>
      </c>
      <c r="B146" s="2" t="s">
        <v>351</v>
      </c>
      <c r="C146" s="71" t="s">
        <v>352</v>
      </c>
      <c r="D146" s="71"/>
      <c r="E146" s="2" t="s">
        <v>190</v>
      </c>
      <c r="F146" s="51">
        <v>107.59</v>
      </c>
      <c r="G146" s="51">
        <v>0</v>
      </c>
      <c r="H146" s="51">
        <f>F146*AO146</f>
        <v>0</v>
      </c>
      <c r="I146" s="51">
        <f>F146*AP146</f>
        <v>0</v>
      </c>
      <c r="J146" s="51">
        <f>F146*G146</f>
        <v>0</v>
      </c>
      <c r="K146" s="52" t="s">
        <v>353</v>
      </c>
      <c r="Z146" s="51">
        <f>IF(AQ146="5",BJ146,0)</f>
        <v>0</v>
      </c>
      <c r="AB146" s="51">
        <f>IF(AQ146="1",BH146,0)</f>
        <v>0</v>
      </c>
      <c r="AC146" s="51">
        <f>IF(AQ146="1",BI146,0)</f>
        <v>0</v>
      </c>
      <c r="AD146" s="51">
        <f>IF(AQ146="7",BH146,0)</f>
        <v>0</v>
      </c>
      <c r="AE146" s="51">
        <f>IF(AQ146="7",BI146,0)</f>
        <v>0</v>
      </c>
      <c r="AF146" s="51">
        <f>IF(AQ146="2",BH146,0)</f>
        <v>0</v>
      </c>
      <c r="AG146" s="51">
        <f>IF(AQ146="2",BI146,0)</f>
        <v>0</v>
      </c>
      <c r="AH146" s="51">
        <f>IF(AQ146="0",BJ146,0)</f>
        <v>0</v>
      </c>
      <c r="AI146" s="35" t="s">
        <v>4</v>
      </c>
      <c r="AJ146" s="51">
        <f>IF(AN146=0,J146,0)</f>
        <v>0</v>
      </c>
      <c r="AK146" s="51">
        <f>IF(AN146=12,J146,0)</f>
        <v>0</v>
      </c>
      <c r="AL146" s="51">
        <f>IF(AN146=21,J146,0)</f>
        <v>0</v>
      </c>
      <c r="AN146" s="51">
        <v>21</v>
      </c>
      <c r="AO146" s="51">
        <f>G146*0</f>
        <v>0</v>
      </c>
      <c r="AP146" s="51">
        <f>G146*(1-0)</f>
        <v>0</v>
      </c>
      <c r="AQ146" s="53" t="s">
        <v>171</v>
      </c>
      <c r="AV146" s="51">
        <f>AW146+AX146</f>
        <v>0</v>
      </c>
      <c r="AW146" s="51">
        <f>F146*AO146</f>
        <v>0</v>
      </c>
      <c r="AX146" s="51">
        <f>F146*AP146</f>
        <v>0</v>
      </c>
      <c r="AY146" s="53" t="s">
        <v>354</v>
      </c>
      <c r="AZ146" s="53" t="s">
        <v>329</v>
      </c>
      <c r="BA146" s="35" t="s">
        <v>128</v>
      </c>
      <c r="BC146" s="51">
        <f>AW146+AX146</f>
        <v>0</v>
      </c>
      <c r="BD146" s="51">
        <f>G146/(100-BE146)*100</f>
        <v>0</v>
      </c>
      <c r="BE146" s="51">
        <v>0</v>
      </c>
      <c r="BF146" s="51">
        <f>146</f>
        <v>146</v>
      </c>
      <c r="BH146" s="51">
        <f>F146*AO146</f>
        <v>0</v>
      </c>
      <c r="BI146" s="51">
        <f>F146*AP146</f>
        <v>0</v>
      </c>
      <c r="BJ146" s="51">
        <f>F146*G146</f>
        <v>0</v>
      </c>
      <c r="BK146" s="51"/>
      <c r="BL146" s="51"/>
      <c r="BW146" s="51">
        <v>21</v>
      </c>
      <c r="BX146" s="2" t="s">
        <v>352</v>
      </c>
    </row>
    <row r="147" spans="1:76" x14ac:dyDescent="0.3">
      <c r="A147" s="1" t="s">
        <v>355</v>
      </c>
      <c r="B147" s="2" t="s">
        <v>356</v>
      </c>
      <c r="C147" s="71" t="s">
        <v>357</v>
      </c>
      <c r="D147" s="71"/>
      <c r="E147" s="2" t="s">
        <v>190</v>
      </c>
      <c r="F147" s="51">
        <v>107.59</v>
      </c>
      <c r="G147" s="51">
        <v>0</v>
      </c>
      <c r="H147" s="51">
        <f>F147*AO147</f>
        <v>0</v>
      </c>
      <c r="I147" s="51">
        <f>F147*AP147</f>
        <v>0</v>
      </c>
      <c r="J147" s="51">
        <f>F147*G147</f>
        <v>0</v>
      </c>
      <c r="K147" s="52" t="s">
        <v>353</v>
      </c>
      <c r="Z147" s="51">
        <f>IF(AQ147="5",BJ147,0)</f>
        <v>0</v>
      </c>
      <c r="AB147" s="51">
        <f>IF(AQ147="1",BH147,0)</f>
        <v>0</v>
      </c>
      <c r="AC147" s="51">
        <f>IF(AQ147="1",BI147,0)</f>
        <v>0</v>
      </c>
      <c r="AD147" s="51">
        <f>IF(AQ147="7",BH147,0)</f>
        <v>0</v>
      </c>
      <c r="AE147" s="51">
        <f>IF(AQ147="7",BI147,0)</f>
        <v>0</v>
      </c>
      <c r="AF147" s="51">
        <f>IF(AQ147="2",BH147,0)</f>
        <v>0</v>
      </c>
      <c r="AG147" s="51">
        <f>IF(AQ147="2",BI147,0)</f>
        <v>0</v>
      </c>
      <c r="AH147" s="51">
        <f>IF(AQ147="0",BJ147,0)</f>
        <v>0</v>
      </c>
      <c r="AI147" s="35" t="s">
        <v>4</v>
      </c>
      <c r="AJ147" s="51">
        <f>IF(AN147=0,J147,0)</f>
        <v>0</v>
      </c>
      <c r="AK147" s="51">
        <f>IF(AN147=12,J147,0)</f>
        <v>0</v>
      </c>
      <c r="AL147" s="51">
        <f>IF(AN147=21,J147,0)</f>
        <v>0</v>
      </c>
      <c r="AN147" s="51">
        <v>21</v>
      </c>
      <c r="AO147" s="51">
        <f>G147*0</f>
        <v>0</v>
      </c>
      <c r="AP147" s="51">
        <f>G147*(1-0)</f>
        <v>0</v>
      </c>
      <c r="AQ147" s="53" t="s">
        <v>171</v>
      </c>
      <c r="AV147" s="51">
        <f>AW147+AX147</f>
        <v>0</v>
      </c>
      <c r="AW147" s="51">
        <f>F147*AO147</f>
        <v>0</v>
      </c>
      <c r="AX147" s="51">
        <f>F147*AP147</f>
        <v>0</v>
      </c>
      <c r="AY147" s="53" t="s">
        <v>354</v>
      </c>
      <c r="AZ147" s="53" t="s">
        <v>329</v>
      </c>
      <c r="BA147" s="35" t="s">
        <v>128</v>
      </c>
      <c r="BC147" s="51">
        <f>AW147+AX147</f>
        <v>0</v>
      </c>
      <c r="BD147" s="51">
        <f>G147/(100-BE147)*100</f>
        <v>0</v>
      </c>
      <c r="BE147" s="51">
        <v>0</v>
      </c>
      <c r="BF147" s="51">
        <f>147</f>
        <v>147</v>
      </c>
      <c r="BH147" s="51">
        <f>F147*AO147</f>
        <v>0</v>
      </c>
      <c r="BI147" s="51">
        <f>F147*AP147</f>
        <v>0</v>
      </c>
      <c r="BJ147" s="51">
        <f>F147*G147</f>
        <v>0</v>
      </c>
      <c r="BK147" s="51"/>
      <c r="BL147" s="51"/>
      <c r="BW147" s="51">
        <v>21</v>
      </c>
      <c r="BX147" s="2" t="s">
        <v>357</v>
      </c>
    </row>
    <row r="148" spans="1:76" x14ac:dyDescent="0.3">
      <c r="A148" s="54"/>
      <c r="C148" s="55" t="s">
        <v>358</v>
      </c>
      <c r="D148" s="56" t="s">
        <v>4</v>
      </c>
      <c r="F148" s="57">
        <v>107.59</v>
      </c>
      <c r="K148" s="58"/>
    </row>
    <row r="149" spans="1:76" x14ac:dyDescent="0.3">
      <c r="A149" s="1" t="s">
        <v>359</v>
      </c>
      <c r="B149" s="2" t="s">
        <v>360</v>
      </c>
      <c r="C149" s="71" t="s">
        <v>361</v>
      </c>
      <c r="D149" s="71"/>
      <c r="E149" s="2" t="s">
        <v>190</v>
      </c>
      <c r="F149" s="51">
        <v>107.59</v>
      </c>
      <c r="G149" s="51">
        <v>0</v>
      </c>
      <c r="H149" s="51">
        <f>F149*AO149</f>
        <v>0</v>
      </c>
      <c r="I149" s="51">
        <f>F149*AP149</f>
        <v>0</v>
      </c>
      <c r="J149" s="51">
        <f>F149*G149</f>
        <v>0</v>
      </c>
      <c r="K149" s="52" t="s">
        <v>353</v>
      </c>
      <c r="Z149" s="51">
        <f>IF(AQ149="5",BJ149,0)</f>
        <v>0</v>
      </c>
      <c r="AB149" s="51">
        <f>IF(AQ149="1",BH149,0)</f>
        <v>0</v>
      </c>
      <c r="AC149" s="51">
        <f>IF(AQ149="1",BI149,0)</f>
        <v>0</v>
      </c>
      <c r="AD149" s="51">
        <f>IF(AQ149="7",BH149,0)</f>
        <v>0</v>
      </c>
      <c r="AE149" s="51">
        <f>IF(AQ149="7",BI149,0)</f>
        <v>0</v>
      </c>
      <c r="AF149" s="51">
        <f>IF(AQ149="2",BH149,0)</f>
        <v>0</v>
      </c>
      <c r="AG149" s="51">
        <f>IF(AQ149="2",BI149,0)</f>
        <v>0</v>
      </c>
      <c r="AH149" s="51">
        <f>IF(AQ149="0",BJ149,0)</f>
        <v>0</v>
      </c>
      <c r="AI149" s="35" t="s">
        <v>4</v>
      </c>
      <c r="AJ149" s="51">
        <f>IF(AN149=0,J149,0)</f>
        <v>0</v>
      </c>
      <c r="AK149" s="51">
        <f>IF(AN149=12,J149,0)</f>
        <v>0</v>
      </c>
      <c r="AL149" s="51">
        <f>IF(AN149=21,J149,0)</f>
        <v>0</v>
      </c>
      <c r="AN149" s="51">
        <v>21</v>
      </c>
      <c r="AO149" s="51">
        <f>G149*0</f>
        <v>0</v>
      </c>
      <c r="AP149" s="51">
        <f>G149*(1-0)</f>
        <v>0</v>
      </c>
      <c r="AQ149" s="53" t="s">
        <v>171</v>
      </c>
      <c r="AV149" s="51">
        <f>AW149+AX149</f>
        <v>0</v>
      </c>
      <c r="AW149" s="51">
        <f>F149*AO149</f>
        <v>0</v>
      </c>
      <c r="AX149" s="51">
        <f>F149*AP149</f>
        <v>0</v>
      </c>
      <c r="AY149" s="53" t="s">
        <v>354</v>
      </c>
      <c r="AZ149" s="53" t="s">
        <v>329</v>
      </c>
      <c r="BA149" s="35" t="s">
        <v>128</v>
      </c>
      <c r="BC149" s="51">
        <f>AW149+AX149</f>
        <v>0</v>
      </c>
      <c r="BD149" s="51">
        <f>G149/(100-BE149)*100</f>
        <v>0</v>
      </c>
      <c r="BE149" s="51">
        <v>0</v>
      </c>
      <c r="BF149" s="51">
        <f>149</f>
        <v>149</v>
      </c>
      <c r="BH149" s="51">
        <f>F149*AO149</f>
        <v>0</v>
      </c>
      <c r="BI149" s="51">
        <f>F149*AP149</f>
        <v>0</v>
      </c>
      <c r="BJ149" s="51">
        <f>F149*G149</f>
        <v>0</v>
      </c>
      <c r="BK149" s="51"/>
      <c r="BL149" s="51"/>
      <c r="BW149" s="51">
        <v>21</v>
      </c>
      <c r="BX149" s="2" t="s">
        <v>361</v>
      </c>
    </row>
    <row r="150" spans="1:76" x14ac:dyDescent="0.3">
      <c r="A150" s="54"/>
      <c r="C150" s="55" t="s">
        <v>358</v>
      </c>
      <c r="D150" s="56" t="s">
        <v>4</v>
      </c>
      <c r="F150" s="57">
        <v>107.59</v>
      </c>
      <c r="K150" s="58"/>
    </row>
    <row r="151" spans="1:76" x14ac:dyDescent="0.3">
      <c r="A151" s="1" t="s">
        <v>362</v>
      </c>
      <c r="B151" s="2" t="s">
        <v>363</v>
      </c>
      <c r="C151" s="71" t="s">
        <v>364</v>
      </c>
      <c r="D151" s="71"/>
      <c r="E151" s="2" t="s">
        <v>190</v>
      </c>
      <c r="F151" s="51">
        <v>430.36</v>
      </c>
      <c r="G151" s="51">
        <v>0</v>
      </c>
      <c r="H151" s="51">
        <f>F151*AO151</f>
        <v>0</v>
      </c>
      <c r="I151" s="51">
        <f>F151*AP151</f>
        <v>0</v>
      </c>
      <c r="J151" s="51">
        <f>F151*G151</f>
        <v>0</v>
      </c>
      <c r="K151" s="52" t="s">
        <v>353</v>
      </c>
      <c r="Z151" s="51">
        <f>IF(AQ151="5",BJ151,0)</f>
        <v>0</v>
      </c>
      <c r="AB151" s="51">
        <f>IF(AQ151="1",BH151,0)</f>
        <v>0</v>
      </c>
      <c r="AC151" s="51">
        <f>IF(AQ151="1",BI151,0)</f>
        <v>0</v>
      </c>
      <c r="AD151" s="51">
        <f>IF(AQ151="7",BH151,0)</f>
        <v>0</v>
      </c>
      <c r="AE151" s="51">
        <f>IF(AQ151="7",BI151,0)</f>
        <v>0</v>
      </c>
      <c r="AF151" s="51">
        <f>IF(AQ151="2",BH151,0)</f>
        <v>0</v>
      </c>
      <c r="AG151" s="51">
        <f>IF(AQ151="2",BI151,0)</f>
        <v>0</v>
      </c>
      <c r="AH151" s="51">
        <f>IF(AQ151="0",BJ151,0)</f>
        <v>0</v>
      </c>
      <c r="AI151" s="35" t="s">
        <v>4</v>
      </c>
      <c r="AJ151" s="51">
        <f>IF(AN151=0,J151,0)</f>
        <v>0</v>
      </c>
      <c r="AK151" s="51">
        <f>IF(AN151=12,J151,0)</f>
        <v>0</v>
      </c>
      <c r="AL151" s="51">
        <f>IF(AN151=21,J151,0)</f>
        <v>0</v>
      </c>
      <c r="AN151" s="51">
        <v>21</v>
      </c>
      <c r="AO151" s="51">
        <f>G151*0</f>
        <v>0</v>
      </c>
      <c r="AP151" s="51">
        <f>G151*(1-0)</f>
        <v>0</v>
      </c>
      <c r="AQ151" s="53" t="s">
        <v>171</v>
      </c>
      <c r="AV151" s="51">
        <f>AW151+AX151</f>
        <v>0</v>
      </c>
      <c r="AW151" s="51">
        <f>F151*AO151</f>
        <v>0</v>
      </c>
      <c r="AX151" s="51">
        <f>F151*AP151</f>
        <v>0</v>
      </c>
      <c r="AY151" s="53" t="s">
        <v>354</v>
      </c>
      <c r="AZ151" s="53" t="s">
        <v>329</v>
      </c>
      <c r="BA151" s="35" t="s">
        <v>128</v>
      </c>
      <c r="BC151" s="51">
        <f>AW151+AX151</f>
        <v>0</v>
      </c>
      <c r="BD151" s="51">
        <f>G151/(100-BE151)*100</f>
        <v>0</v>
      </c>
      <c r="BE151" s="51">
        <v>0</v>
      </c>
      <c r="BF151" s="51">
        <f>151</f>
        <v>151</v>
      </c>
      <c r="BH151" s="51">
        <f>F151*AO151</f>
        <v>0</v>
      </c>
      <c r="BI151" s="51">
        <f>F151*AP151</f>
        <v>0</v>
      </c>
      <c r="BJ151" s="51">
        <f>F151*G151</f>
        <v>0</v>
      </c>
      <c r="BK151" s="51"/>
      <c r="BL151" s="51"/>
      <c r="BW151" s="51">
        <v>21</v>
      </c>
      <c r="BX151" s="2" t="s">
        <v>364</v>
      </c>
    </row>
    <row r="152" spans="1:76" x14ac:dyDescent="0.3">
      <c r="A152" s="54"/>
      <c r="C152" s="55" t="s">
        <v>365</v>
      </c>
      <c r="D152" s="56" t="s">
        <v>4</v>
      </c>
      <c r="F152" s="57">
        <v>430.36</v>
      </c>
      <c r="K152" s="58"/>
    </row>
    <row r="153" spans="1:76" x14ac:dyDescent="0.3">
      <c r="A153" s="1" t="s">
        <v>366</v>
      </c>
      <c r="B153" s="2" t="s">
        <v>367</v>
      </c>
      <c r="C153" s="71" t="s">
        <v>368</v>
      </c>
      <c r="D153" s="71"/>
      <c r="E153" s="2" t="s">
        <v>190</v>
      </c>
      <c r="F153" s="51">
        <v>106.22</v>
      </c>
      <c r="G153" s="51">
        <v>0</v>
      </c>
      <c r="H153" s="51">
        <f>F153*AO153</f>
        <v>0</v>
      </c>
      <c r="I153" s="51">
        <f>F153*AP153</f>
        <v>0</v>
      </c>
      <c r="J153" s="51">
        <f>F153*G153</f>
        <v>0</v>
      </c>
      <c r="K153" s="52" t="s">
        <v>125</v>
      </c>
      <c r="Z153" s="51">
        <f>IF(AQ153="5",BJ153,0)</f>
        <v>0</v>
      </c>
      <c r="AB153" s="51">
        <f>IF(AQ153="1",BH153,0)</f>
        <v>0</v>
      </c>
      <c r="AC153" s="51">
        <f>IF(AQ153="1",BI153,0)</f>
        <v>0</v>
      </c>
      <c r="AD153" s="51">
        <f>IF(AQ153="7",BH153,0)</f>
        <v>0</v>
      </c>
      <c r="AE153" s="51">
        <f>IF(AQ153="7",BI153,0)</f>
        <v>0</v>
      </c>
      <c r="AF153" s="51">
        <f>IF(AQ153="2",BH153,0)</f>
        <v>0</v>
      </c>
      <c r="AG153" s="51">
        <f>IF(AQ153="2",BI153,0)</f>
        <v>0</v>
      </c>
      <c r="AH153" s="51">
        <f>IF(AQ153="0",BJ153,0)</f>
        <v>0</v>
      </c>
      <c r="AI153" s="35" t="s">
        <v>4</v>
      </c>
      <c r="AJ153" s="51">
        <f>IF(AN153=0,J153,0)</f>
        <v>0</v>
      </c>
      <c r="AK153" s="51">
        <f>IF(AN153=12,J153,0)</f>
        <v>0</v>
      </c>
      <c r="AL153" s="51">
        <f>IF(AN153=21,J153,0)</f>
        <v>0</v>
      </c>
      <c r="AN153" s="51">
        <v>21</v>
      </c>
      <c r="AO153" s="51">
        <f>G153*0</f>
        <v>0</v>
      </c>
      <c r="AP153" s="51">
        <f>G153*(1-0)</f>
        <v>0</v>
      </c>
      <c r="AQ153" s="53" t="s">
        <v>171</v>
      </c>
      <c r="AV153" s="51">
        <f>AW153+AX153</f>
        <v>0</v>
      </c>
      <c r="AW153" s="51">
        <f>F153*AO153</f>
        <v>0</v>
      </c>
      <c r="AX153" s="51">
        <f>F153*AP153</f>
        <v>0</v>
      </c>
      <c r="AY153" s="53" t="s">
        <v>354</v>
      </c>
      <c r="AZ153" s="53" t="s">
        <v>329</v>
      </c>
      <c r="BA153" s="35" t="s">
        <v>128</v>
      </c>
      <c r="BC153" s="51">
        <f>AW153+AX153</f>
        <v>0</v>
      </c>
      <c r="BD153" s="51">
        <f>G153/(100-BE153)*100</f>
        <v>0</v>
      </c>
      <c r="BE153" s="51">
        <v>0</v>
      </c>
      <c r="BF153" s="51">
        <f>153</f>
        <v>153</v>
      </c>
      <c r="BH153" s="51">
        <f>F153*AO153</f>
        <v>0</v>
      </c>
      <c r="BI153" s="51">
        <f>F153*AP153</f>
        <v>0</v>
      </c>
      <c r="BJ153" s="51">
        <f>F153*G153</f>
        <v>0</v>
      </c>
      <c r="BK153" s="51"/>
      <c r="BL153" s="51"/>
      <c r="BW153" s="51">
        <v>21</v>
      </c>
      <c r="BX153" s="2" t="s">
        <v>368</v>
      </c>
    </row>
    <row r="154" spans="1:76" x14ac:dyDescent="0.3">
      <c r="A154" s="48" t="s">
        <v>4</v>
      </c>
      <c r="B154" s="26" t="s">
        <v>369</v>
      </c>
      <c r="C154" s="142" t="s">
        <v>58</v>
      </c>
      <c r="D154" s="142"/>
      <c r="E154" s="49" t="s">
        <v>80</v>
      </c>
      <c r="F154" s="49" t="s">
        <v>80</v>
      </c>
      <c r="G154" s="49" t="s">
        <v>80</v>
      </c>
      <c r="H154" s="29">
        <f>H155+H158+H163+H168</f>
        <v>0</v>
      </c>
      <c r="I154" s="29">
        <f>I155+I158+I163+I168</f>
        <v>0</v>
      </c>
      <c r="J154" s="29">
        <f>J155+J158+J163+J168</f>
        <v>0</v>
      </c>
      <c r="K154" s="50" t="s">
        <v>4</v>
      </c>
      <c r="AI154" s="35" t="s">
        <v>4</v>
      </c>
    </row>
    <row r="155" spans="1:76" x14ac:dyDescent="0.3">
      <c r="A155" s="48" t="s">
        <v>4</v>
      </c>
      <c r="B155" s="26" t="s">
        <v>370</v>
      </c>
      <c r="C155" s="142" t="s">
        <v>69</v>
      </c>
      <c r="D155" s="142"/>
      <c r="E155" s="49" t="s">
        <v>80</v>
      </c>
      <c r="F155" s="49" t="s">
        <v>80</v>
      </c>
      <c r="G155" s="49" t="s">
        <v>80</v>
      </c>
      <c r="H155" s="29">
        <f>SUM(H156:H156)</f>
        <v>0</v>
      </c>
      <c r="I155" s="29">
        <f>SUM(I156:I156)</f>
        <v>0</v>
      </c>
      <c r="J155" s="29">
        <f>SUM(J156:J156)</f>
        <v>0</v>
      </c>
      <c r="K155" s="50" t="s">
        <v>4</v>
      </c>
      <c r="AI155" s="35" t="s">
        <v>4</v>
      </c>
      <c r="AS155" s="29">
        <f>SUM(AJ156:AJ156)</f>
        <v>0</v>
      </c>
      <c r="AT155" s="29">
        <f>SUM(AK156:AK156)</f>
        <v>0</v>
      </c>
      <c r="AU155" s="29">
        <f>SUM(AL156:AL156)</f>
        <v>0</v>
      </c>
    </row>
    <row r="156" spans="1:76" ht="26.4" x14ac:dyDescent="0.3">
      <c r="A156" s="1" t="s">
        <v>371</v>
      </c>
      <c r="B156" s="2" t="s">
        <v>372</v>
      </c>
      <c r="C156" s="71" t="s">
        <v>373</v>
      </c>
      <c r="D156" s="71"/>
      <c r="E156" s="2" t="s">
        <v>374</v>
      </c>
      <c r="F156" s="51">
        <v>1</v>
      </c>
      <c r="G156" s="51">
        <v>0</v>
      </c>
      <c r="H156" s="51">
        <f>F156*AO156</f>
        <v>0</v>
      </c>
      <c r="I156" s="51">
        <f>F156*AP156</f>
        <v>0</v>
      </c>
      <c r="J156" s="51">
        <f>F156*G156</f>
        <v>0</v>
      </c>
      <c r="K156" s="52" t="s">
        <v>4</v>
      </c>
      <c r="Z156" s="51">
        <f>IF(AQ156="5",BJ156,0)</f>
        <v>0</v>
      </c>
      <c r="AB156" s="51">
        <f>IF(AQ156="1",BH156,0)</f>
        <v>0</v>
      </c>
      <c r="AC156" s="51">
        <f>IF(AQ156="1",BI156,0)</f>
        <v>0</v>
      </c>
      <c r="AD156" s="51">
        <f>IF(AQ156="7",BH156,0)</f>
        <v>0</v>
      </c>
      <c r="AE156" s="51">
        <f>IF(AQ156="7",BI156,0)</f>
        <v>0</v>
      </c>
      <c r="AF156" s="51">
        <f>IF(AQ156="2",BH156,0)</f>
        <v>0</v>
      </c>
      <c r="AG156" s="51">
        <f>IF(AQ156="2",BI156,0)</f>
        <v>0</v>
      </c>
      <c r="AH156" s="51">
        <f>IF(AQ156="0",BJ156,0)</f>
        <v>0</v>
      </c>
      <c r="AI156" s="35" t="s">
        <v>4</v>
      </c>
      <c r="AJ156" s="51">
        <f>IF(AN156=0,J156,0)</f>
        <v>0</v>
      </c>
      <c r="AK156" s="51">
        <f>IF(AN156=12,J156,0)</f>
        <v>0</v>
      </c>
      <c r="AL156" s="51">
        <f>IF(AN156=21,J156,0)</f>
        <v>0</v>
      </c>
      <c r="AN156" s="51">
        <v>21</v>
      </c>
      <c r="AO156" s="51">
        <f>G156*0</f>
        <v>0</v>
      </c>
      <c r="AP156" s="51">
        <f>G156*(1-0)</f>
        <v>0</v>
      </c>
      <c r="AQ156" s="53" t="s">
        <v>375</v>
      </c>
      <c r="AV156" s="51">
        <f>AW156+AX156</f>
        <v>0</v>
      </c>
      <c r="AW156" s="51">
        <f>F156*AO156</f>
        <v>0</v>
      </c>
      <c r="AX156" s="51">
        <f>F156*AP156</f>
        <v>0</v>
      </c>
      <c r="AY156" s="53" t="s">
        <v>376</v>
      </c>
      <c r="AZ156" s="53" t="s">
        <v>377</v>
      </c>
      <c r="BA156" s="35" t="s">
        <v>128</v>
      </c>
      <c r="BC156" s="51">
        <f>AW156+AX156</f>
        <v>0</v>
      </c>
      <c r="BD156" s="51">
        <f>G156/(100-BE156)*100</f>
        <v>0</v>
      </c>
      <c r="BE156" s="51">
        <v>0</v>
      </c>
      <c r="BF156" s="51">
        <f>156</f>
        <v>156</v>
      </c>
      <c r="BH156" s="51">
        <f>F156*AO156</f>
        <v>0</v>
      </c>
      <c r="BI156" s="51">
        <f>F156*AP156</f>
        <v>0</v>
      </c>
      <c r="BJ156" s="51">
        <f>F156*G156</f>
        <v>0</v>
      </c>
      <c r="BK156" s="51"/>
      <c r="BL156" s="51"/>
      <c r="BM156" s="51">
        <f>F156*G156</f>
        <v>0</v>
      </c>
      <c r="BW156" s="51">
        <v>21</v>
      </c>
      <c r="BX156" s="2" t="s">
        <v>373</v>
      </c>
    </row>
    <row r="157" spans="1:76" x14ac:dyDescent="0.3">
      <c r="A157" s="54"/>
      <c r="C157" s="55" t="s">
        <v>121</v>
      </c>
      <c r="D157" s="56" t="s">
        <v>4</v>
      </c>
      <c r="F157" s="57">
        <v>1</v>
      </c>
      <c r="K157" s="58"/>
    </row>
    <row r="158" spans="1:76" x14ac:dyDescent="0.3">
      <c r="A158" s="48" t="s">
        <v>4</v>
      </c>
      <c r="B158" s="26" t="s">
        <v>378</v>
      </c>
      <c r="C158" s="142" t="s">
        <v>70</v>
      </c>
      <c r="D158" s="142"/>
      <c r="E158" s="49" t="s">
        <v>80</v>
      </c>
      <c r="F158" s="49" t="s">
        <v>80</v>
      </c>
      <c r="G158" s="49" t="s">
        <v>80</v>
      </c>
      <c r="H158" s="29">
        <f>SUM(H159:H161)</f>
        <v>0</v>
      </c>
      <c r="I158" s="29">
        <f>SUM(I159:I161)</f>
        <v>0</v>
      </c>
      <c r="J158" s="29">
        <f>SUM(J159:J161)</f>
        <v>0</v>
      </c>
      <c r="K158" s="50" t="s">
        <v>4</v>
      </c>
      <c r="AI158" s="35" t="s">
        <v>4</v>
      </c>
      <c r="AS158" s="29">
        <f>SUM(AJ159:AJ161)</f>
        <v>0</v>
      </c>
      <c r="AT158" s="29">
        <f>SUM(AK159:AK161)</f>
        <v>0</v>
      </c>
      <c r="AU158" s="29">
        <f>SUM(AL159:AL161)</f>
        <v>0</v>
      </c>
    </row>
    <row r="159" spans="1:76" ht="26.4" x14ac:dyDescent="0.3">
      <c r="A159" s="1" t="s">
        <v>379</v>
      </c>
      <c r="B159" s="2" t="s">
        <v>380</v>
      </c>
      <c r="C159" s="71" t="s">
        <v>381</v>
      </c>
      <c r="D159" s="71"/>
      <c r="E159" s="2" t="s">
        <v>374</v>
      </c>
      <c r="F159" s="51">
        <v>1</v>
      </c>
      <c r="G159" s="51">
        <v>0</v>
      </c>
      <c r="H159" s="51">
        <f>F159*AO159</f>
        <v>0</v>
      </c>
      <c r="I159" s="51">
        <f>F159*AP159</f>
        <v>0</v>
      </c>
      <c r="J159" s="51">
        <f>F159*G159</f>
        <v>0</v>
      </c>
      <c r="K159" s="52" t="s">
        <v>4</v>
      </c>
      <c r="Z159" s="51">
        <f>IF(AQ159="5",BJ159,0)</f>
        <v>0</v>
      </c>
      <c r="AB159" s="51">
        <f>IF(AQ159="1",BH159,0)</f>
        <v>0</v>
      </c>
      <c r="AC159" s="51">
        <f>IF(AQ159="1",BI159,0)</f>
        <v>0</v>
      </c>
      <c r="AD159" s="51">
        <f>IF(AQ159="7",BH159,0)</f>
        <v>0</v>
      </c>
      <c r="AE159" s="51">
        <f>IF(AQ159="7",BI159,0)</f>
        <v>0</v>
      </c>
      <c r="AF159" s="51">
        <f>IF(AQ159="2",BH159,0)</f>
        <v>0</v>
      </c>
      <c r="AG159" s="51">
        <f>IF(AQ159="2",BI159,0)</f>
        <v>0</v>
      </c>
      <c r="AH159" s="51">
        <f>IF(AQ159="0",BJ159,0)</f>
        <v>0</v>
      </c>
      <c r="AI159" s="35" t="s">
        <v>4</v>
      </c>
      <c r="AJ159" s="51">
        <f>IF(AN159=0,J159,0)</f>
        <v>0</v>
      </c>
      <c r="AK159" s="51">
        <f>IF(AN159=12,J159,0)</f>
        <v>0</v>
      </c>
      <c r="AL159" s="51">
        <f>IF(AN159=21,J159,0)</f>
        <v>0</v>
      </c>
      <c r="AN159" s="51">
        <v>21</v>
      </c>
      <c r="AO159" s="51">
        <f>G159*0</f>
        <v>0</v>
      </c>
      <c r="AP159" s="51">
        <f>G159*(1-0)</f>
        <v>0</v>
      </c>
      <c r="AQ159" s="53" t="s">
        <v>375</v>
      </c>
      <c r="AV159" s="51">
        <f>AW159+AX159</f>
        <v>0</v>
      </c>
      <c r="AW159" s="51">
        <f>F159*AO159</f>
        <v>0</v>
      </c>
      <c r="AX159" s="51">
        <f>F159*AP159</f>
        <v>0</v>
      </c>
      <c r="AY159" s="53" t="s">
        <v>382</v>
      </c>
      <c r="AZ159" s="53" t="s">
        <v>377</v>
      </c>
      <c r="BA159" s="35" t="s">
        <v>128</v>
      </c>
      <c r="BC159" s="51">
        <f>AW159+AX159</f>
        <v>0</v>
      </c>
      <c r="BD159" s="51">
        <f>G159/(100-BE159)*100</f>
        <v>0</v>
      </c>
      <c r="BE159" s="51">
        <v>0</v>
      </c>
      <c r="BF159" s="51">
        <f>159</f>
        <v>159</v>
      </c>
      <c r="BH159" s="51">
        <f>F159*AO159</f>
        <v>0</v>
      </c>
      <c r="BI159" s="51">
        <f>F159*AP159</f>
        <v>0</v>
      </c>
      <c r="BJ159" s="51">
        <f>F159*G159</f>
        <v>0</v>
      </c>
      <c r="BK159" s="51"/>
      <c r="BL159" s="51"/>
      <c r="BN159" s="51">
        <f>F159*G159</f>
        <v>0</v>
      </c>
      <c r="BW159" s="51">
        <v>21</v>
      </c>
      <c r="BX159" s="2" t="s">
        <v>381</v>
      </c>
    </row>
    <row r="160" spans="1:76" x14ac:dyDescent="0.3">
      <c r="A160" s="54"/>
      <c r="C160" s="55" t="s">
        <v>121</v>
      </c>
      <c r="D160" s="56" t="s">
        <v>4</v>
      </c>
      <c r="F160" s="57">
        <v>1</v>
      </c>
      <c r="K160" s="58"/>
    </row>
    <row r="161" spans="1:76" ht="26.4" x14ac:dyDescent="0.3">
      <c r="A161" s="1" t="s">
        <v>383</v>
      </c>
      <c r="B161" s="2" t="s">
        <v>384</v>
      </c>
      <c r="C161" s="71" t="s">
        <v>385</v>
      </c>
      <c r="D161" s="71"/>
      <c r="E161" s="2" t="s">
        <v>374</v>
      </c>
      <c r="F161" s="51">
        <v>1</v>
      </c>
      <c r="G161" s="51">
        <v>0</v>
      </c>
      <c r="H161" s="51">
        <f>F161*AO161</f>
        <v>0</v>
      </c>
      <c r="I161" s="51">
        <f>F161*AP161</f>
        <v>0</v>
      </c>
      <c r="J161" s="51">
        <f>F161*G161</f>
        <v>0</v>
      </c>
      <c r="K161" s="52" t="s">
        <v>4</v>
      </c>
      <c r="Z161" s="51">
        <f>IF(AQ161="5",BJ161,0)</f>
        <v>0</v>
      </c>
      <c r="AB161" s="51">
        <f>IF(AQ161="1",BH161,0)</f>
        <v>0</v>
      </c>
      <c r="AC161" s="51">
        <f>IF(AQ161="1",BI161,0)</f>
        <v>0</v>
      </c>
      <c r="AD161" s="51">
        <f>IF(AQ161="7",BH161,0)</f>
        <v>0</v>
      </c>
      <c r="AE161" s="51">
        <f>IF(AQ161="7",BI161,0)</f>
        <v>0</v>
      </c>
      <c r="AF161" s="51">
        <f>IF(AQ161="2",BH161,0)</f>
        <v>0</v>
      </c>
      <c r="AG161" s="51">
        <f>IF(AQ161="2",BI161,0)</f>
        <v>0</v>
      </c>
      <c r="AH161" s="51">
        <f>IF(AQ161="0",BJ161,0)</f>
        <v>0</v>
      </c>
      <c r="AI161" s="35" t="s">
        <v>4</v>
      </c>
      <c r="AJ161" s="51">
        <f>IF(AN161=0,J161,0)</f>
        <v>0</v>
      </c>
      <c r="AK161" s="51">
        <f>IF(AN161=12,J161,0)</f>
        <v>0</v>
      </c>
      <c r="AL161" s="51">
        <f>IF(AN161=21,J161,0)</f>
        <v>0</v>
      </c>
      <c r="AN161" s="51">
        <v>21</v>
      </c>
      <c r="AO161" s="51">
        <f>G161*0</f>
        <v>0</v>
      </c>
      <c r="AP161" s="51">
        <f>G161*(1-0)</f>
        <v>0</v>
      </c>
      <c r="AQ161" s="53" t="s">
        <v>375</v>
      </c>
      <c r="AV161" s="51">
        <f>AW161+AX161</f>
        <v>0</v>
      </c>
      <c r="AW161" s="51">
        <f>F161*AO161</f>
        <v>0</v>
      </c>
      <c r="AX161" s="51">
        <f>F161*AP161</f>
        <v>0</v>
      </c>
      <c r="AY161" s="53" t="s">
        <v>382</v>
      </c>
      <c r="AZ161" s="53" t="s">
        <v>377</v>
      </c>
      <c r="BA161" s="35" t="s">
        <v>128</v>
      </c>
      <c r="BC161" s="51">
        <f>AW161+AX161</f>
        <v>0</v>
      </c>
      <c r="BD161" s="51">
        <f>G161/(100-BE161)*100</f>
        <v>0</v>
      </c>
      <c r="BE161" s="51">
        <v>0</v>
      </c>
      <c r="BF161" s="51">
        <f>161</f>
        <v>161</v>
      </c>
      <c r="BH161" s="51">
        <f>F161*AO161</f>
        <v>0</v>
      </c>
      <c r="BI161" s="51">
        <f>F161*AP161</f>
        <v>0</v>
      </c>
      <c r="BJ161" s="51">
        <f>F161*G161</f>
        <v>0</v>
      </c>
      <c r="BK161" s="51"/>
      <c r="BL161" s="51"/>
      <c r="BN161" s="51">
        <f>F161*G161</f>
        <v>0</v>
      </c>
      <c r="BW161" s="51">
        <v>21</v>
      </c>
      <c r="BX161" s="2" t="s">
        <v>385</v>
      </c>
    </row>
    <row r="162" spans="1:76" x14ac:dyDescent="0.3">
      <c r="A162" s="54"/>
      <c r="C162" s="55" t="s">
        <v>121</v>
      </c>
      <c r="D162" s="56" t="s">
        <v>4</v>
      </c>
      <c r="F162" s="57">
        <v>1</v>
      </c>
      <c r="K162" s="58"/>
    </row>
    <row r="163" spans="1:76" x14ac:dyDescent="0.3">
      <c r="A163" s="48" t="s">
        <v>4</v>
      </c>
      <c r="B163" s="26" t="s">
        <v>386</v>
      </c>
      <c r="C163" s="142" t="s">
        <v>25</v>
      </c>
      <c r="D163" s="142"/>
      <c r="E163" s="49" t="s">
        <v>80</v>
      </c>
      <c r="F163" s="49" t="s">
        <v>80</v>
      </c>
      <c r="G163" s="49" t="s">
        <v>80</v>
      </c>
      <c r="H163" s="29">
        <f>SUM(H164:H166)</f>
        <v>0</v>
      </c>
      <c r="I163" s="29">
        <f>SUM(I164:I166)</f>
        <v>0</v>
      </c>
      <c r="J163" s="29">
        <f>SUM(J164:J166)</f>
        <v>0</v>
      </c>
      <c r="K163" s="50" t="s">
        <v>4</v>
      </c>
      <c r="AI163" s="35" t="s">
        <v>4</v>
      </c>
      <c r="AS163" s="29">
        <f>SUM(AJ164:AJ166)</f>
        <v>0</v>
      </c>
      <c r="AT163" s="29">
        <f>SUM(AK164:AK166)</f>
        <v>0</v>
      </c>
      <c r="AU163" s="29">
        <f>SUM(AL164:AL166)</f>
        <v>0</v>
      </c>
    </row>
    <row r="164" spans="1:76" ht="26.4" x14ac:dyDescent="0.3">
      <c r="A164" s="1" t="s">
        <v>387</v>
      </c>
      <c r="B164" s="2" t="s">
        <v>388</v>
      </c>
      <c r="C164" s="71" t="s">
        <v>25</v>
      </c>
      <c r="D164" s="71"/>
      <c r="E164" s="2" t="s">
        <v>374</v>
      </c>
      <c r="F164" s="51">
        <v>1</v>
      </c>
      <c r="G164" s="51">
        <v>0</v>
      </c>
      <c r="H164" s="51">
        <f>F164*AO164</f>
        <v>0</v>
      </c>
      <c r="I164" s="51">
        <f>F164*AP164</f>
        <v>0</v>
      </c>
      <c r="J164" s="51">
        <f>F164*G164</f>
        <v>0</v>
      </c>
      <c r="K164" s="52" t="s">
        <v>4</v>
      </c>
      <c r="Z164" s="51">
        <f>IF(AQ164="5",BJ164,0)</f>
        <v>0</v>
      </c>
      <c r="AB164" s="51">
        <f>IF(AQ164="1",BH164,0)</f>
        <v>0</v>
      </c>
      <c r="AC164" s="51">
        <f>IF(AQ164="1",BI164,0)</f>
        <v>0</v>
      </c>
      <c r="AD164" s="51">
        <f>IF(AQ164="7",BH164,0)</f>
        <v>0</v>
      </c>
      <c r="AE164" s="51">
        <f>IF(AQ164="7",BI164,0)</f>
        <v>0</v>
      </c>
      <c r="AF164" s="51">
        <f>IF(AQ164="2",BH164,0)</f>
        <v>0</v>
      </c>
      <c r="AG164" s="51">
        <f>IF(AQ164="2",BI164,0)</f>
        <v>0</v>
      </c>
      <c r="AH164" s="51">
        <f>IF(AQ164="0",BJ164,0)</f>
        <v>0</v>
      </c>
      <c r="AI164" s="35" t="s">
        <v>4</v>
      </c>
      <c r="AJ164" s="51">
        <f>IF(AN164=0,J164,0)</f>
        <v>0</v>
      </c>
      <c r="AK164" s="51">
        <f>IF(AN164=12,J164,0)</f>
        <v>0</v>
      </c>
      <c r="AL164" s="51">
        <f>IF(AN164=21,J164,0)</f>
        <v>0</v>
      </c>
      <c r="AN164" s="51">
        <v>21</v>
      </c>
      <c r="AO164" s="51">
        <f>G164*0</f>
        <v>0</v>
      </c>
      <c r="AP164" s="51">
        <f>G164*(1-0)</f>
        <v>0</v>
      </c>
      <c r="AQ164" s="53" t="s">
        <v>375</v>
      </c>
      <c r="AV164" s="51">
        <f>AW164+AX164</f>
        <v>0</v>
      </c>
      <c r="AW164" s="51">
        <f>F164*AO164</f>
        <v>0</v>
      </c>
      <c r="AX164" s="51">
        <f>F164*AP164</f>
        <v>0</v>
      </c>
      <c r="AY164" s="53" t="s">
        <v>389</v>
      </c>
      <c r="AZ164" s="53" t="s">
        <v>377</v>
      </c>
      <c r="BA164" s="35" t="s">
        <v>128</v>
      </c>
      <c r="BC164" s="51">
        <f>AW164+AX164</f>
        <v>0</v>
      </c>
      <c r="BD164" s="51">
        <f>G164/(100-BE164)*100</f>
        <v>0</v>
      </c>
      <c r="BE164" s="51">
        <v>0</v>
      </c>
      <c r="BF164" s="51">
        <f>164</f>
        <v>164</v>
      </c>
      <c r="BH164" s="51">
        <f>F164*AO164</f>
        <v>0</v>
      </c>
      <c r="BI164" s="51">
        <f>F164*AP164</f>
        <v>0</v>
      </c>
      <c r="BJ164" s="51">
        <f>F164*G164</f>
        <v>0</v>
      </c>
      <c r="BK164" s="51"/>
      <c r="BL164" s="51"/>
      <c r="BO164" s="51">
        <f>F164*G164</f>
        <v>0</v>
      </c>
      <c r="BW164" s="51">
        <v>21</v>
      </c>
      <c r="BX164" s="2" t="s">
        <v>25</v>
      </c>
    </row>
    <row r="165" spans="1:76" ht="39.6" x14ac:dyDescent="0.3">
      <c r="A165" s="54"/>
      <c r="C165" s="55" t="s">
        <v>121</v>
      </c>
      <c r="D165" s="56" t="s">
        <v>390</v>
      </c>
      <c r="F165" s="57">
        <v>1</v>
      </c>
      <c r="K165" s="58"/>
    </row>
    <row r="166" spans="1:76" ht="26.4" x14ac:dyDescent="0.3">
      <c r="A166" s="1" t="s">
        <v>391</v>
      </c>
      <c r="B166" s="2" t="s">
        <v>392</v>
      </c>
      <c r="C166" s="71" t="s">
        <v>393</v>
      </c>
      <c r="D166" s="71"/>
      <c r="E166" s="2" t="s">
        <v>374</v>
      </c>
      <c r="F166" s="51">
        <v>1</v>
      </c>
      <c r="G166" s="51">
        <v>0</v>
      </c>
      <c r="H166" s="51">
        <f>F166*AO166</f>
        <v>0</v>
      </c>
      <c r="I166" s="51">
        <f>F166*AP166</f>
        <v>0</v>
      </c>
      <c r="J166" s="51">
        <f>F166*G166</f>
        <v>0</v>
      </c>
      <c r="K166" s="52" t="s">
        <v>4</v>
      </c>
      <c r="Z166" s="51">
        <f>IF(AQ166="5",BJ166,0)</f>
        <v>0</v>
      </c>
      <c r="AB166" s="51">
        <f>IF(AQ166="1",BH166,0)</f>
        <v>0</v>
      </c>
      <c r="AC166" s="51">
        <f>IF(AQ166="1",BI166,0)</f>
        <v>0</v>
      </c>
      <c r="AD166" s="51">
        <f>IF(AQ166="7",BH166,0)</f>
        <v>0</v>
      </c>
      <c r="AE166" s="51">
        <f>IF(AQ166="7",BI166,0)</f>
        <v>0</v>
      </c>
      <c r="AF166" s="51">
        <f>IF(AQ166="2",BH166,0)</f>
        <v>0</v>
      </c>
      <c r="AG166" s="51">
        <f>IF(AQ166="2",BI166,0)</f>
        <v>0</v>
      </c>
      <c r="AH166" s="51">
        <f>IF(AQ166="0",BJ166,0)</f>
        <v>0</v>
      </c>
      <c r="AI166" s="35" t="s">
        <v>4</v>
      </c>
      <c r="AJ166" s="51">
        <f>IF(AN166=0,J166,0)</f>
        <v>0</v>
      </c>
      <c r="AK166" s="51">
        <f>IF(AN166=12,J166,0)</f>
        <v>0</v>
      </c>
      <c r="AL166" s="51">
        <f>IF(AN166=21,J166,0)</f>
        <v>0</v>
      </c>
      <c r="AN166" s="51">
        <v>21</v>
      </c>
      <c r="AO166" s="51">
        <f>G166*0</f>
        <v>0</v>
      </c>
      <c r="AP166" s="51">
        <f>G166*(1-0)</f>
        <v>0</v>
      </c>
      <c r="AQ166" s="53" t="s">
        <v>375</v>
      </c>
      <c r="AV166" s="51">
        <f>AW166+AX166</f>
        <v>0</v>
      </c>
      <c r="AW166" s="51">
        <f>F166*AO166</f>
        <v>0</v>
      </c>
      <c r="AX166" s="51">
        <f>F166*AP166</f>
        <v>0</v>
      </c>
      <c r="AY166" s="53" t="s">
        <v>389</v>
      </c>
      <c r="AZ166" s="53" t="s">
        <v>377</v>
      </c>
      <c r="BA166" s="35" t="s">
        <v>128</v>
      </c>
      <c r="BC166" s="51">
        <f>AW166+AX166</f>
        <v>0</v>
      </c>
      <c r="BD166" s="51">
        <f>G166/(100-BE166)*100</f>
        <v>0</v>
      </c>
      <c r="BE166" s="51">
        <v>0</v>
      </c>
      <c r="BF166" s="51">
        <f>166</f>
        <v>166</v>
      </c>
      <c r="BH166" s="51">
        <f>F166*AO166</f>
        <v>0</v>
      </c>
      <c r="BI166" s="51">
        <f>F166*AP166</f>
        <v>0</v>
      </c>
      <c r="BJ166" s="51">
        <f>F166*G166</f>
        <v>0</v>
      </c>
      <c r="BK166" s="51"/>
      <c r="BL166" s="51"/>
      <c r="BO166" s="51">
        <f>F166*G166</f>
        <v>0</v>
      </c>
      <c r="BW166" s="51">
        <v>21</v>
      </c>
      <c r="BX166" s="2" t="s">
        <v>393</v>
      </c>
    </row>
    <row r="167" spans="1:76" x14ac:dyDescent="0.3">
      <c r="A167" s="54"/>
      <c r="C167" s="55" t="s">
        <v>121</v>
      </c>
      <c r="D167" s="56" t="s">
        <v>4</v>
      </c>
      <c r="F167" s="57">
        <v>1</v>
      </c>
      <c r="K167" s="58"/>
    </row>
    <row r="168" spans="1:76" x14ac:dyDescent="0.3">
      <c r="A168" s="48" t="s">
        <v>4</v>
      </c>
      <c r="B168" s="26" t="s">
        <v>394</v>
      </c>
      <c r="C168" s="142" t="s">
        <v>71</v>
      </c>
      <c r="D168" s="142"/>
      <c r="E168" s="49" t="s">
        <v>80</v>
      </c>
      <c r="F168" s="49" t="s">
        <v>80</v>
      </c>
      <c r="G168" s="49" t="s">
        <v>80</v>
      </c>
      <c r="H168" s="29">
        <f>SUM(H169:H169)</f>
        <v>0</v>
      </c>
      <c r="I168" s="29">
        <f>SUM(I169:I169)</f>
        <v>0</v>
      </c>
      <c r="J168" s="29">
        <f>SUM(J169:J169)</f>
        <v>0</v>
      </c>
      <c r="K168" s="50" t="s">
        <v>4</v>
      </c>
      <c r="AI168" s="35" t="s">
        <v>4</v>
      </c>
      <c r="AS168" s="29">
        <f>SUM(AJ169:AJ169)</f>
        <v>0</v>
      </c>
      <c r="AT168" s="29">
        <f>SUM(AK169:AK169)</f>
        <v>0</v>
      </c>
      <c r="AU168" s="29">
        <f>SUM(AL169:AL169)</f>
        <v>0</v>
      </c>
    </row>
    <row r="169" spans="1:76" ht="26.4" x14ac:dyDescent="0.3">
      <c r="A169" s="1" t="s">
        <v>395</v>
      </c>
      <c r="B169" s="2" t="s">
        <v>396</v>
      </c>
      <c r="C169" s="71" t="s">
        <v>397</v>
      </c>
      <c r="D169" s="71"/>
      <c r="E169" s="2" t="s">
        <v>374</v>
      </c>
      <c r="F169" s="51">
        <v>1</v>
      </c>
      <c r="G169" s="51">
        <v>0</v>
      </c>
      <c r="H169" s="51">
        <f>F169*AO169</f>
        <v>0</v>
      </c>
      <c r="I169" s="51">
        <f>F169*AP169</f>
        <v>0</v>
      </c>
      <c r="J169" s="51">
        <f>F169*G169</f>
        <v>0</v>
      </c>
      <c r="K169" s="52" t="s">
        <v>4</v>
      </c>
      <c r="Z169" s="51">
        <f>IF(AQ169="5",BJ169,0)</f>
        <v>0</v>
      </c>
      <c r="AB169" s="51">
        <f>IF(AQ169="1",BH169,0)</f>
        <v>0</v>
      </c>
      <c r="AC169" s="51">
        <f>IF(AQ169="1",BI169,0)</f>
        <v>0</v>
      </c>
      <c r="AD169" s="51">
        <f>IF(AQ169="7",BH169,0)</f>
        <v>0</v>
      </c>
      <c r="AE169" s="51">
        <f>IF(AQ169="7",BI169,0)</f>
        <v>0</v>
      </c>
      <c r="AF169" s="51">
        <f>IF(AQ169="2",BH169,0)</f>
        <v>0</v>
      </c>
      <c r="AG169" s="51">
        <f>IF(AQ169="2",BI169,0)</f>
        <v>0</v>
      </c>
      <c r="AH169" s="51">
        <f>IF(AQ169="0",BJ169,0)</f>
        <v>0</v>
      </c>
      <c r="AI169" s="35" t="s">
        <v>4</v>
      </c>
      <c r="AJ169" s="51">
        <f>IF(AN169=0,J169,0)</f>
        <v>0</v>
      </c>
      <c r="AK169" s="51">
        <f>IF(AN169=12,J169,0)</f>
        <v>0</v>
      </c>
      <c r="AL169" s="51">
        <f>IF(AN169=21,J169,0)</f>
        <v>0</v>
      </c>
      <c r="AN169" s="51">
        <v>21</v>
      </c>
      <c r="AO169" s="51">
        <f>G169*0</f>
        <v>0</v>
      </c>
      <c r="AP169" s="51">
        <f>G169*(1-0)</f>
        <v>0</v>
      </c>
      <c r="AQ169" s="53" t="s">
        <v>375</v>
      </c>
      <c r="AV169" s="51">
        <f>AW169+AX169</f>
        <v>0</v>
      </c>
      <c r="AW169" s="51">
        <f>F169*AO169</f>
        <v>0</v>
      </c>
      <c r="AX169" s="51">
        <f>F169*AP169</f>
        <v>0</v>
      </c>
      <c r="AY169" s="53" t="s">
        <v>398</v>
      </c>
      <c r="AZ169" s="53" t="s">
        <v>377</v>
      </c>
      <c r="BA169" s="35" t="s">
        <v>128</v>
      </c>
      <c r="BC169" s="51">
        <f>AW169+AX169</f>
        <v>0</v>
      </c>
      <c r="BD169" s="51">
        <f>G169/(100-BE169)*100</f>
        <v>0</v>
      </c>
      <c r="BE169" s="51">
        <v>0</v>
      </c>
      <c r="BF169" s="51">
        <f>169</f>
        <v>169</v>
      </c>
      <c r="BH169" s="51">
        <f>F169*AO169</f>
        <v>0</v>
      </c>
      <c r="BI169" s="51">
        <f>F169*AP169</f>
        <v>0</v>
      </c>
      <c r="BJ169" s="51">
        <f>F169*G169</f>
        <v>0</v>
      </c>
      <c r="BK169" s="51"/>
      <c r="BL169" s="51"/>
      <c r="BP169" s="51">
        <f>F169*G169</f>
        <v>0</v>
      </c>
      <c r="BW169" s="51">
        <v>21</v>
      </c>
      <c r="BX169" s="2" t="s">
        <v>397</v>
      </c>
    </row>
    <row r="170" spans="1:76" x14ac:dyDescent="0.3">
      <c r="A170" s="63"/>
      <c r="B170" s="64"/>
      <c r="C170" s="65" t="s">
        <v>121</v>
      </c>
      <c r="D170" s="66" t="s">
        <v>4</v>
      </c>
      <c r="E170" s="64"/>
      <c r="F170" s="67">
        <v>1</v>
      </c>
      <c r="G170" s="64"/>
      <c r="H170" s="64"/>
      <c r="I170" s="64"/>
      <c r="J170" s="64"/>
      <c r="K170" s="68"/>
    </row>
    <row r="171" spans="1:76" x14ac:dyDescent="0.3">
      <c r="H171" s="143" t="s">
        <v>399</v>
      </c>
      <c r="I171" s="143"/>
      <c r="J171" s="69">
        <f>J13+J23+J28+J45+J66+J71+J83+J92+J97+J101+J113+J134+J138+J143+J145+J155+J158+J163+J168</f>
        <v>0</v>
      </c>
    </row>
    <row r="172" spans="1:76" ht="30.6" x14ac:dyDescent="0.3">
      <c r="A172" s="70" t="s">
        <v>56</v>
      </c>
    </row>
    <row r="173" spans="1:76" ht="58.5" customHeight="1" x14ac:dyDescent="0.3">
      <c r="A173" s="71" t="s">
        <v>400</v>
      </c>
      <c r="B173" s="71"/>
      <c r="C173" s="71"/>
      <c r="D173" s="71"/>
      <c r="E173" s="71"/>
      <c r="F173" s="71"/>
      <c r="G173" s="71"/>
      <c r="H173" s="71"/>
      <c r="I173" s="71"/>
      <c r="J173" s="71"/>
      <c r="K173" s="71"/>
    </row>
  </sheetData>
  <mergeCells count="107"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C23:D23"/>
    <mergeCell ref="C24:D24"/>
    <mergeCell ref="C28:D28"/>
    <mergeCell ref="C29:D29"/>
    <mergeCell ref="C33:D33"/>
    <mergeCell ref="C11:D11"/>
    <mergeCell ref="H10:J10"/>
    <mergeCell ref="C12:D12"/>
    <mergeCell ref="C13:D13"/>
    <mergeCell ref="C14:D14"/>
    <mergeCell ref="C50:K50"/>
    <mergeCell ref="C53:D53"/>
    <mergeCell ref="C54:K54"/>
    <mergeCell ref="C56:D56"/>
    <mergeCell ref="C59:D59"/>
    <mergeCell ref="C37:D37"/>
    <mergeCell ref="C41:D41"/>
    <mergeCell ref="C45:D45"/>
    <mergeCell ref="C46:D46"/>
    <mergeCell ref="C49:D49"/>
    <mergeCell ref="C71:D71"/>
    <mergeCell ref="C72:D72"/>
    <mergeCell ref="C76:D76"/>
    <mergeCell ref="C80:D80"/>
    <mergeCell ref="C81:K81"/>
    <mergeCell ref="C60:K60"/>
    <mergeCell ref="C63:D63"/>
    <mergeCell ref="C66:D66"/>
    <mergeCell ref="C67:D67"/>
    <mergeCell ref="C68:K68"/>
    <mergeCell ref="C92:D92"/>
    <mergeCell ref="C93:D93"/>
    <mergeCell ref="C94:K94"/>
    <mergeCell ref="C97:D97"/>
    <mergeCell ref="C98:D98"/>
    <mergeCell ref="C83:D83"/>
    <mergeCell ref="C84:D84"/>
    <mergeCell ref="C86:D86"/>
    <mergeCell ref="C88:D88"/>
    <mergeCell ref="C90:D90"/>
    <mergeCell ref="C108:D108"/>
    <mergeCell ref="C110:D110"/>
    <mergeCell ref="C111:K111"/>
    <mergeCell ref="C113:D113"/>
    <mergeCell ref="C114:D114"/>
    <mergeCell ref="C101:D101"/>
    <mergeCell ref="C102:D102"/>
    <mergeCell ref="C103:K103"/>
    <mergeCell ref="C105:D105"/>
    <mergeCell ref="C106:K106"/>
    <mergeCell ref="C133:D133"/>
    <mergeCell ref="C134:D134"/>
    <mergeCell ref="C135:D135"/>
    <mergeCell ref="C138:D138"/>
    <mergeCell ref="C139:D139"/>
    <mergeCell ref="C118:D118"/>
    <mergeCell ref="C122:D122"/>
    <mergeCell ref="C124:D124"/>
    <mergeCell ref="C128:D128"/>
    <mergeCell ref="C130:D130"/>
    <mergeCell ref="C149:D149"/>
    <mergeCell ref="C151:D151"/>
    <mergeCell ref="C153:D153"/>
    <mergeCell ref="C154:D154"/>
    <mergeCell ref="C155:D155"/>
    <mergeCell ref="C143:D143"/>
    <mergeCell ref="C144:D144"/>
    <mergeCell ref="C145:D145"/>
    <mergeCell ref="C146:D146"/>
    <mergeCell ref="C147:D147"/>
    <mergeCell ref="A173:K173"/>
    <mergeCell ref="C164:D164"/>
    <mergeCell ref="C166:D166"/>
    <mergeCell ref="C168:D168"/>
    <mergeCell ref="C169:D169"/>
    <mergeCell ref="H171:I171"/>
    <mergeCell ref="C156:D156"/>
    <mergeCell ref="C158:D158"/>
    <mergeCell ref="C159:D159"/>
    <mergeCell ref="C161:D161"/>
    <mergeCell ref="C163:D163"/>
  </mergeCells>
  <pageMargins left="0.393999993801117" right="0.393999993801117" top="0.59100002050399802" bottom="0.59100002050399802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VORN</vt:lpstr>
      <vt:lpstr>Stavební rozpočet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Ing. Tomáš Večeřa</cp:lastModifiedBy>
  <dcterms:created xsi:type="dcterms:W3CDTF">2021-06-10T20:06:38Z</dcterms:created>
  <dcterms:modified xsi:type="dcterms:W3CDTF">2025-06-20T05:41:17Z</dcterms:modified>
</cp:coreProperties>
</file>